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720" windowHeight="73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43" i="1"/>
  <c r="G122" i="3"/>
  <c r="J122"/>
  <c r="P123"/>
  <c r="P43"/>
  <c r="P52"/>
  <c r="P112"/>
  <c r="P67"/>
  <c r="P26"/>
  <c r="P14"/>
  <c r="P65"/>
  <c r="P46"/>
  <c r="P81"/>
  <c r="P121"/>
  <c r="P97"/>
  <c r="P110"/>
  <c r="P68"/>
  <c r="P57"/>
  <c r="P84"/>
  <c r="P2"/>
  <c r="P116"/>
  <c r="P87"/>
  <c r="P86"/>
  <c r="P71"/>
  <c r="P16"/>
  <c r="P34"/>
  <c r="P54"/>
  <c r="P38"/>
  <c r="P70"/>
  <c r="P63"/>
  <c r="P27"/>
  <c r="P91"/>
  <c r="P92"/>
  <c r="P95"/>
  <c r="P88"/>
  <c r="P106"/>
  <c r="P75"/>
  <c r="P111"/>
  <c r="P99"/>
  <c r="P94"/>
  <c r="P48"/>
  <c r="P117"/>
  <c r="P10"/>
  <c r="P23"/>
  <c r="P11"/>
  <c r="P101"/>
  <c r="P107"/>
  <c r="P85"/>
  <c r="P76"/>
  <c r="P118"/>
  <c r="P29"/>
  <c r="P37"/>
  <c r="P18"/>
  <c r="P12"/>
  <c r="P41"/>
  <c r="P115"/>
  <c r="P60"/>
  <c r="P104"/>
  <c r="P114"/>
  <c r="P59"/>
  <c r="P58"/>
  <c r="P105"/>
  <c r="P109"/>
  <c r="P89"/>
  <c r="P3"/>
  <c r="P31"/>
  <c r="P20"/>
  <c r="P30"/>
  <c r="P8"/>
  <c r="P13"/>
  <c r="P44"/>
  <c r="P36"/>
  <c r="P39"/>
  <c r="P19"/>
  <c r="P61"/>
  <c r="P120"/>
  <c r="P119"/>
  <c r="P62"/>
  <c r="P50"/>
  <c r="P4"/>
  <c r="P49"/>
  <c r="P113"/>
  <c r="P80"/>
  <c r="P47"/>
  <c r="P69"/>
  <c r="P108"/>
  <c r="P51"/>
  <c r="P42"/>
  <c r="P22"/>
  <c r="P5"/>
  <c r="P17"/>
  <c r="P100"/>
  <c r="P79"/>
  <c r="P102"/>
  <c r="P40"/>
  <c r="P28"/>
  <c r="P96"/>
  <c r="P98"/>
  <c r="P55"/>
  <c r="P72"/>
  <c r="P25"/>
  <c r="P6"/>
  <c r="P9"/>
  <c r="P77"/>
  <c r="P64"/>
  <c r="P93"/>
  <c r="P21"/>
  <c r="P32"/>
  <c r="P53"/>
  <c r="P74"/>
  <c r="P15"/>
  <c r="P103"/>
  <c r="P66"/>
  <c r="P45"/>
  <c r="P35"/>
  <c r="P33"/>
  <c r="P90"/>
  <c r="P24"/>
  <c r="P7"/>
  <c r="P73"/>
  <c r="P83"/>
  <c r="P56"/>
  <c r="P82"/>
  <c r="P78"/>
  <c r="P124"/>
  <c r="O124"/>
  <c r="N124"/>
  <c r="M123"/>
  <c r="M43"/>
  <c r="K52"/>
  <c r="L52"/>
  <c r="M52" s="1"/>
  <c r="M112"/>
  <c r="K67"/>
  <c r="L67"/>
  <c r="M67" s="1"/>
  <c r="K26"/>
  <c r="L26"/>
  <c r="M26"/>
  <c r="K14"/>
  <c r="L14"/>
  <c r="M14" s="1"/>
  <c r="M65"/>
  <c r="M46"/>
  <c r="K81"/>
  <c r="L81"/>
  <c r="M81"/>
  <c r="M121"/>
  <c r="K97"/>
  <c r="L97"/>
  <c r="M97"/>
  <c r="K110"/>
  <c r="L110"/>
  <c r="M110" s="1"/>
  <c r="K68"/>
  <c r="L68"/>
  <c r="M68"/>
  <c r="K57"/>
  <c r="L57"/>
  <c r="M57" s="1"/>
  <c r="K84"/>
  <c r="L84"/>
  <c r="M84"/>
  <c r="K2"/>
  <c r="L2"/>
  <c r="M2"/>
  <c r="K116"/>
  <c r="L116"/>
  <c r="M116" s="1"/>
  <c r="K87"/>
  <c r="L87"/>
  <c r="M87"/>
  <c r="K86"/>
  <c r="L86"/>
  <c r="M86" s="1"/>
  <c r="K71"/>
  <c r="L71"/>
  <c r="M71"/>
  <c r="K16"/>
  <c r="L16"/>
  <c r="M16" s="1"/>
  <c r="M34"/>
  <c r="M54"/>
  <c r="K38"/>
  <c r="L38"/>
  <c r="M38"/>
  <c r="M70"/>
  <c r="M63"/>
  <c r="K27"/>
  <c r="L27"/>
  <c r="M27" s="1"/>
  <c r="M91"/>
  <c r="M92"/>
  <c r="K95"/>
  <c r="L95"/>
  <c r="M95"/>
  <c r="M88"/>
  <c r="M106"/>
  <c r="M75"/>
  <c r="K111"/>
  <c r="L111"/>
  <c r="M111"/>
  <c r="M99"/>
  <c r="K94"/>
  <c r="L94"/>
  <c r="M94"/>
  <c r="M122"/>
  <c r="K48"/>
  <c r="L48"/>
  <c r="M48"/>
  <c r="M117"/>
  <c r="M10"/>
  <c r="K23"/>
  <c r="L23"/>
  <c r="M23" s="1"/>
  <c r="K11"/>
  <c r="L11"/>
  <c r="M11"/>
  <c r="M101"/>
  <c r="M107"/>
  <c r="M85"/>
  <c r="K76"/>
  <c r="M76" s="1"/>
  <c r="M118"/>
  <c r="K29"/>
  <c r="L29"/>
  <c r="M29" s="1"/>
  <c r="M37"/>
  <c r="M18"/>
  <c r="M12"/>
  <c r="M41"/>
  <c r="M115"/>
  <c r="K60"/>
  <c r="L60"/>
  <c r="M60" s="1"/>
  <c r="M104"/>
  <c r="M114"/>
  <c r="M59"/>
  <c r="K58"/>
  <c r="L58"/>
  <c r="M58" s="1"/>
  <c r="M105"/>
  <c r="K109"/>
  <c r="L109"/>
  <c r="M109" s="1"/>
  <c r="K89"/>
  <c r="L89"/>
  <c r="M89"/>
  <c r="M3"/>
  <c r="K31"/>
  <c r="L31"/>
  <c r="M31"/>
  <c r="K20"/>
  <c r="L20"/>
  <c r="M20" s="1"/>
  <c r="K30"/>
  <c r="L30"/>
  <c r="M30"/>
  <c r="K8"/>
  <c r="L8"/>
  <c r="M8" s="1"/>
  <c r="K13"/>
  <c r="L13"/>
  <c r="M13"/>
  <c r="K44"/>
  <c r="L44"/>
  <c r="M44" s="1"/>
  <c r="K36"/>
  <c r="L36"/>
  <c r="M36"/>
  <c r="K39"/>
  <c r="L39"/>
  <c r="M39" s="1"/>
  <c r="K19"/>
  <c r="L19"/>
  <c r="M19"/>
  <c r="K61"/>
  <c r="L61"/>
  <c r="M61" s="1"/>
  <c r="M120"/>
  <c r="M119"/>
  <c r="K62"/>
  <c r="L62"/>
  <c r="M62"/>
  <c r="K50"/>
  <c r="L50"/>
  <c r="M50" s="1"/>
  <c r="K4"/>
  <c r="L4"/>
  <c r="M4"/>
  <c r="K49"/>
  <c r="L49"/>
  <c r="M49" s="1"/>
  <c r="M113"/>
  <c r="K80"/>
  <c r="L80"/>
  <c r="M80" s="1"/>
  <c r="M69"/>
  <c r="M108"/>
  <c r="K51"/>
  <c r="L51"/>
  <c r="M51"/>
  <c r="K42"/>
  <c r="L42"/>
  <c r="M42" s="1"/>
  <c r="K22"/>
  <c r="L22"/>
  <c r="M22"/>
  <c r="M5"/>
  <c r="M17"/>
  <c r="K100"/>
  <c r="L100"/>
  <c r="M100" s="1"/>
  <c r="K79"/>
  <c r="L79"/>
  <c r="M79"/>
  <c r="K102"/>
  <c r="L102"/>
  <c r="M102" s="1"/>
  <c r="M40"/>
  <c r="K28"/>
  <c r="L28"/>
  <c r="M28" s="1"/>
  <c r="K96"/>
  <c r="L96"/>
  <c r="M96"/>
  <c r="M98"/>
  <c r="K55"/>
  <c r="L55"/>
  <c r="M55"/>
  <c r="M72"/>
  <c r="K25"/>
  <c r="L25"/>
  <c r="M25"/>
  <c r="K6"/>
  <c r="L6"/>
  <c r="M6" s="1"/>
  <c r="K9"/>
  <c r="L9"/>
  <c r="M9"/>
  <c r="K77"/>
  <c r="L77"/>
  <c r="M77" s="1"/>
  <c r="M64"/>
  <c r="K93"/>
  <c r="L93"/>
  <c r="M93" s="1"/>
  <c r="K21"/>
  <c r="L21"/>
  <c r="M21"/>
  <c r="K32"/>
  <c r="L32"/>
  <c r="M32" s="1"/>
  <c r="K53"/>
  <c r="L53"/>
  <c r="M53"/>
  <c r="K74"/>
  <c r="L74"/>
  <c r="M74" s="1"/>
  <c r="K15"/>
  <c r="L15"/>
  <c r="M15"/>
  <c r="M103"/>
  <c r="K66"/>
  <c r="L66"/>
  <c r="M66"/>
  <c r="K45"/>
  <c r="L45"/>
  <c r="M45" s="1"/>
  <c r="M35"/>
  <c r="K33"/>
  <c r="L33"/>
  <c r="M33" s="1"/>
  <c r="K90"/>
  <c r="L90"/>
  <c r="M90"/>
  <c r="K24"/>
  <c r="L24"/>
  <c r="M24" s="1"/>
  <c r="K7"/>
  <c r="L7"/>
  <c r="M7"/>
  <c r="M73"/>
  <c r="M83"/>
  <c r="M56"/>
  <c r="M82"/>
  <c r="M78"/>
  <c r="L47"/>
  <c r="L124"/>
  <c r="K47"/>
  <c r="K124"/>
  <c r="I123"/>
  <c r="I43"/>
  <c r="C52"/>
  <c r="D52"/>
  <c r="I52" s="1"/>
  <c r="J52" s="1"/>
  <c r="I112"/>
  <c r="C67"/>
  <c r="D67"/>
  <c r="I67" s="1"/>
  <c r="J67" s="1"/>
  <c r="C26"/>
  <c r="D26"/>
  <c r="I26"/>
  <c r="C14"/>
  <c r="D14"/>
  <c r="I14" s="1"/>
  <c r="J14" s="1"/>
  <c r="I65"/>
  <c r="C46"/>
  <c r="D46"/>
  <c r="I46" s="1"/>
  <c r="J46" s="1"/>
  <c r="C81"/>
  <c r="D81"/>
  <c r="I81"/>
  <c r="I121"/>
  <c r="C97"/>
  <c r="D97"/>
  <c r="I97"/>
  <c r="C110"/>
  <c r="D110"/>
  <c r="I110" s="1"/>
  <c r="J110" s="1"/>
  <c r="C68"/>
  <c r="D68"/>
  <c r="I68"/>
  <c r="C57"/>
  <c r="D57"/>
  <c r="I57" s="1"/>
  <c r="J57" s="1"/>
  <c r="C84"/>
  <c r="D84"/>
  <c r="I84"/>
  <c r="C2"/>
  <c r="D2"/>
  <c r="I2" s="1"/>
  <c r="C116"/>
  <c r="D116"/>
  <c r="I116"/>
  <c r="C87"/>
  <c r="D87"/>
  <c r="I87" s="1"/>
  <c r="J87" s="1"/>
  <c r="C86"/>
  <c r="D86"/>
  <c r="I86"/>
  <c r="C71"/>
  <c r="D71"/>
  <c r="I71" s="1"/>
  <c r="J71" s="1"/>
  <c r="C16"/>
  <c r="D16"/>
  <c r="I16"/>
  <c r="I34"/>
  <c r="I54"/>
  <c r="C38"/>
  <c r="D38"/>
  <c r="I38" s="1"/>
  <c r="J38" s="1"/>
  <c r="I70"/>
  <c r="I63"/>
  <c r="C27"/>
  <c r="D27"/>
  <c r="I27"/>
  <c r="I91"/>
  <c r="I92"/>
  <c r="C95"/>
  <c r="D95"/>
  <c r="I95" s="1"/>
  <c r="J95" s="1"/>
  <c r="I88"/>
  <c r="I106"/>
  <c r="C75"/>
  <c r="D75"/>
  <c r="I75"/>
  <c r="C111"/>
  <c r="D111"/>
  <c r="I111" s="1"/>
  <c r="J111" s="1"/>
  <c r="I99"/>
  <c r="C94"/>
  <c r="D94"/>
  <c r="I94" s="1"/>
  <c r="J94" s="1"/>
  <c r="C48"/>
  <c r="D48"/>
  <c r="I48"/>
  <c r="I117"/>
  <c r="C10"/>
  <c r="D10"/>
  <c r="I10"/>
  <c r="C23"/>
  <c r="D23"/>
  <c r="I23" s="1"/>
  <c r="J23" s="1"/>
  <c r="C11"/>
  <c r="D11"/>
  <c r="I11"/>
  <c r="I101"/>
  <c r="I107"/>
  <c r="I85"/>
  <c r="C76"/>
  <c r="D76"/>
  <c r="I76"/>
  <c r="I118"/>
  <c r="C29"/>
  <c r="D29"/>
  <c r="I29"/>
  <c r="C37"/>
  <c r="D37"/>
  <c r="I37" s="1"/>
  <c r="J37" s="1"/>
  <c r="I18"/>
  <c r="I12"/>
  <c r="I41"/>
  <c r="I115"/>
  <c r="C60"/>
  <c r="D60"/>
  <c r="I60"/>
  <c r="I104"/>
  <c r="I114"/>
  <c r="C59"/>
  <c r="D59"/>
  <c r="I59" s="1"/>
  <c r="J59" s="1"/>
  <c r="C58"/>
  <c r="D58"/>
  <c r="I58"/>
  <c r="I105"/>
  <c r="C109"/>
  <c r="D109"/>
  <c r="I109"/>
  <c r="C89"/>
  <c r="D89"/>
  <c r="I89" s="1"/>
  <c r="J89" s="1"/>
  <c r="I3"/>
  <c r="C31"/>
  <c r="D31"/>
  <c r="I31" s="1"/>
  <c r="J31" s="1"/>
  <c r="C20"/>
  <c r="D20"/>
  <c r="I20"/>
  <c r="C30"/>
  <c r="D30"/>
  <c r="I30" s="1"/>
  <c r="J30" s="1"/>
  <c r="C8"/>
  <c r="D8"/>
  <c r="I8"/>
  <c r="C13"/>
  <c r="D13"/>
  <c r="I13" s="1"/>
  <c r="J13" s="1"/>
  <c r="C44"/>
  <c r="D44"/>
  <c r="I44"/>
  <c r="C36"/>
  <c r="D36"/>
  <c r="I36" s="1"/>
  <c r="J36" s="1"/>
  <c r="C39"/>
  <c r="D39"/>
  <c r="I39"/>
  <c r="C19"/>
  <c r="D19"/>
  <c r="I19" s="1"/>
  <c r="J19" s="1"/>
  <c r="C61"/>
  <c r="D61"/>
  <c r="I61"/>
  <c r="I120"/>
  <c r="I119"/>
  <c r="C62"/>
  <c r="D62"/>
  <c r="I62" s="1"/>
  <c r="J62" s="1"/>
  <c r="C50"/>
  <c r="D50"/>
  <c r="I50"/>
  <c r="C4"/>
  <c r="D4"/>
  <c r="I4" s="1"/>
  <c r="J4" s="1"/>
  <c r="C49"/>
  <c r="D49"/>
  <c r="I49"/>
  <c r="I113"/>
  <c r="C80"/>
  <c r="D80"/>
  <c r="I80"/>
  <c r="C47"/>
  <c r="D47"/>
  <c r="I47" s="1"/>
  <c r="J47" s="1"/>
  <c r="I69"/>
  <c r="I108"/>
  <c r="C51"/>
  <c r="D51"/>
  <c r="I51"/>
  <c r="C42"/>
  <c r="D42"/>
  <c r="I42" s="1"/>
  <c r="J42" s="1"/>
  <c r="C22"/>
  <c r="D22"/>
  <c r="I22"/>
  <c r="D5"/>
  <c r="I5"/>
  <c r="I17"/>
  <c r="C100"/>
  <c r="D100"/>
  <c r="I100"/>
  <c r="C79"/>
  <c r="D79"/>
  <c r="I79" s="1"/>
  <c r="J79" s="1"/>
  <c r="C102"/>
  <c r="D102"/>
  <c r="I102"/>
  <c r="I40"/>
  <c r="C28"/>
  <c r="D28"/>
  <c r="I28"/>
  <c r="C96"/>
  <c r="D96"/>
  <c r="I96" s="1"/>
  <c r="J96" s="1"/>
  <c r="I98"/>
  <c r="C55"/>
  <c r="D55"/>
  <c r="I55" s="1"/>
  <c r="J55" s="1"/>
  <c r="I72"/>
  <c r="C25"/>
  <c r="D25"/>
  <c r="I25" s="1"/>
  <c r="J25" s="1"/>
  <c r="C6"/>
  <c r="D6"/>
  <c r="I6"/>
  <c r="C9"/>
  <c r="D9"/>
  <c r="I9" s="1"/>
  <c r="J9" s="1"/>
  <c r="C77"/>
  <c r="D77"/>
  <c r="I77"/>
  <c r="I64"/>
  <c r="C93"/>
  <c r="D93"/>
  <c r="I93"/>
  <c r="C21"/>
  <c r="D21"/>
  <c r="I21" s="1"/>
  <c r="J21" s="1"/>
  <c r="C32"/>
  <c r="D32"/>
  <c r="I32"/>
  <c r="C53"/>
  <c r="D53"/>
  <c r="I53" s="1"/>
  <c r="J53" s="1"/>
  <c r="C74"/>
  <c r="D74"/>
  <c r="I74"/>
  <c r="C15"/>
  <c r="D15"/>
  <c r="I15" s="1"/>
  <c r="J15" s="1"/>
  <c r="I103"/>
  <c r="C66"/>
  <c r="D66"/>
  <c r="I66" s="1"/>
  <c r="J66" s="1"/>
  <c r="C45"/>
  <c r="D45"/>
  <c r="I45"/>
  <c r="I35"/>
  <c r="C33"/>
  <c r="D33"/>
  <c r="I33"/>
  <c r="C90"/>
  <c r="D90"/>
  <c r="I90" s="1"/>
  <c r="J90" s="1"/>
  <c r="C24"/>
  <c r="D24"/>
  <c r="I24"/>
  <c r="C7"/>
  <c r="D7"/>
  <c r="I7" s="1"/>
  <c r="J7" s="1"/>
  <c r="I73"/>
  <c r="I83"/>
  <c r="I56"/>
  <c r="I82"/>
  <c r="I78"/>
  <c r="H123"/>
  <c r="H43"/>
  <c r="H52"/>
  <c r="H112"/>
  <c r="H67"/>
  <c r="H26"/>
  <c r="H14"/>
  <c r="H65"/>
  <c r="H46"/>
  <c r="H81"/>
  <c r="H121"/>
  <c r="H97"/>
  <c r="H110"/>
  <c r="H68"/>
  <c r="H57"/>
  <c r="H84"/>
  <c r="H2"/>
  <c r="H116"/>
  <c r="H87"/>
  <c r="H86"/>
  <c r="H71"/>
  <c r="H16"/>
  <c r="H34"/>
  <c r="H54"/>
  <c r="H38"/>
  <c r="H70"/>
  <c r="H63"/>
  <c r="H27"/>
  <c r="H91"/>
  <c r="H92"/>
  <c r="H95"/>
  <c r="H88"/>
  <c r="H106"/>
  <c r="H75"/>
  <c r="H111"/>
  <c r="H99"/>
  <c r="H94"/>
  <c r="H48"/>
  <c r="H117"/>
  <c r="H10"/>
  <c r="H23"/>
  <c r="H11"/>
  <c r="H101"/>
  <c r="H107"/>
  <c r="H85"/>
  <c r="H76"/>
  <c r="H118"/>
  <c r="H29"/>
  <c r="H37"/>
  <c r="H18"/>
  <c r="H12"/>
  <c r="H41"/>
  <c r="H115"/>
  <c r="H60"/>
  <c r="H104"/>
  <c r="H114"/>
  <c r="H59"/>
  <c r="H58"/>
  <c r="H105"/>
  <c r="H109"/>
  <c r="H89"/>
  <c r="H3"/>
  <c r="H31"/>
  <c r="H20"/>
  <c r="H30"/>
  <c r="H8"/>
  <c r="H13"/>
  <c r="H44"/>
  <c r="H36"/>
  <c r="H39"/>
  <c r="H19"/>
  <c r="H61"/>
  <c r="H120"/>
  <c r="H119"/>
  <c r="H62"/>
  <c r="H50"/>
  <c r="H4"/>
  <c r="H124" s="1"/>
  <c r="H49"/>
  <c r="H113"/>
  <c r="H80"/>
  <c r="H47"/>
  <c r="H69"/>
  <c r="H108"/>
  <c r="H51"/>
  <c r="H42"/>
  <c r="H22"/>
  <c r="H5"/>
  <c r="H17"/>
  <c r="H100"/>
  <c r="H79"/>
  <c r="H102"/>
  <c r="H40"/>
  <c r="H28"/>
  <c r="H96"/>
  <c r="H98"/>
  <c r="H55"/>
  <c r="H72"/>
  <c r="H25"/>
  <c r="H6"/>
  <c r="H9"/>
  <c r="H77"/>
  <c r="H64"/>
  <c r="H93"/>
  <c r="H21"/>
  <c r="H32"/>
  <c r="H53"/>
  <c r="H74"/>
  <c r="H15"/>
  <c r="H103"/>
  <c r="H66"/>
  <c r="H45"/>
  <c r="H35"/>
  <c r="H33"/>
  <c r="H90"/>
  <c r="H24"/>
  <c r="H7"/>
  <c r="H73"/>
  <c r="H83"/>
  <c r="H56"/>
  <c r="H82"/>
  <c r="H78"/>
  <c r="G123"/>
  <c r="G43"/>
  <c r="G52"/>
  <c r="G112"/>
  <c r="G67"/>
  <c r="G26"/>
  <c r="G14"/>
  <c r="G65"/>
  <c r="G46"/>
  <c r="G81"/>
  <c r="G121"/>
  <c r="J121" s="1"/>
  <c r="G97"/>
  <c r="G110"/>
  <c r="G68"/>
  <c r="G57"/>
  <c r="G84"/>
  <c r="G2"/>
  <c r="G116"/>
  <c r="G87"/>
  <c r="G86"/>
  <c r="G71"/>
  <c r="G16"/>
  <c r="G34"/>
  <c r="G54"/>
  <c r="G38"/>
  <c r="G70"/>
  <c r="G63"/>
  <c r="G27"/>
  <c r="G91"/>
  <c r="G92"/>
  <c r="G95"/>
  <c r="G88"/>
  <c r="G106"/>
  <c r="G75"/>
  <c r="G111"/>
  <c r="G99"/>
  <c r="G94"/>
  <c r="G48"/>
  <c r="G117"/>
  <c r="G10"/>
  <c r="G23"/>
  <c r="G11"/>
  <c r="G101"/>
  <c r="G107"/>
  <c r="G85"/>
  <c r="G76"/>
  <c r="G118"/>
  <c r="G29"/>
  <c r="G37"/>
  <c r="G18"/>
  <c r="G12"/>
  <c r="G41"/>
  <c r="G115"/>
  <c r="G60"/>
  <c r="G104"/>
  <c r="G114"/>
  <c r="G59"/>
  <c r="G58"/>
  <c r="G105"/>
  <c r="G109"/>
  <c r="G89"/>
  <c r="G3"/>
  <c r="G31"/>
  <c r="G20"/>
  <c r="G30"/>
  <c r="G8"/>
  <c r="G13"/>
  <c r="G44"/>
  <c r="G36"/>
  <c r="G39"/>
  <c r="G19"/>
  <c r="G61"/>
  <c r="G120"/>
  <c r="G119"/>
  <c r="G62"/>
  <c r="G50"/>
  <c r="G4"/>
  <c r="G124" s="1"/>
  <c r="G49"/>
  <c r="G113"/>
  <c r="G80"/>
  <c r="G47"/>
  <c r="G69"/>
  <c r="G108"/>
  <c r="G51"/>
  <c r="G42"/>
  <c r="G22"/>
  <c r="G5"/>
  <c r="G17"/>
  <c r="G100"/>
  <c r="G79"/>
  <c r="G102"/>
  <c r="G40"/>
  <c r="G28"/>
  <c r="G96"/>
  <c r="G98"/>
  <c r="G55"/>
  <c r="G72"/>
  <c r="G25"/>
  <c r="G6"/>
  <c r="G9"/>
  <c r="G77"/>
  <c r="G64"/>
  <c r="G93"/>
  <c r="G21"/>
  <c r="G32"/>
  <c r="G53"/>
  <c r="G74"/>
  <c r="G15"/>
  <c r="G103"/>
  <c r="G66"/>
  <c r="G45"/>
  <c r="G35"/>
  <c r="G33"/>
  <c r="G90"/>
  <c r="G24"/>
  <c r="G7"/>
  <c r="G73"/>
  <c r="G83"/>
  <c r="G56"/>
  <c r="G82"/>
  <c r="G78"/>
  <c r="F124"/>
  <c r="E124"/>
  <c r="D124"/>
  <c r="C124"/>
  <c r="J78"/>
  <c r="J82"/>
  <c r="J56"/>
  <c r="J83"/>
  <c r="J73"/>
  <c r="J24"/>
  <c r="J33"/>
  <c r="J35"/>
  <c r="J45"/>
  <c r="J103"/>
  <c r="J74"/>
  <c r="J32"/>
  <c r="J93"/>
  <c r="J64"/>
  <c r="J77"/>
  <c r="J6"/>
  <c r="J72"/>
  <c r="J98"/>
  <c r="J28"/>
  <c r="J40"/>
  <c r="J102"/>
  <c r="J100"/>
  <c r="J17"/>
  <c r="J5"/>
  <c r="J22"/>
  <c r="J51"/>
  <c r="J108"/>
  <c r="J69"/>
  <c r="J80"/>
  <c r="J113"/>
  <c r="J49"/>
  <c r="J50"/>
  <c r="J119"/>
  <c r="J120"/>
  <c r="J61"/>
  <c r="J39"/>
  <c r="J44"/>
  <c r="J8"/>
  <c r="J20"/>
  <c r="J3"/>
  <c r="J109"/>
  <c r="J105"/>
  <c r="J58"/>
  <c r="J114"/>
  <c r="J104"/>
  <c r="J60"/>
  <c r="J115"/>
  <c r="J41"/>
  <c r="J12"/>
  <c r="J18"/>
  <c r="J29"/>
  <c r="J118"/>
  <c r="J76"/>
  <c r="J85"/>
  <c r="J107"/>
  <c r="J101"/>
  <c r="J11"/>
  <c r="J10"/>
  <c r="J117"/>
  <c r="J48"/>
  <c r="J99"/>
  <c r="J75"/>
  <c r="J106"/>
  <c r="J88"/>
  <c r="J92"/>
  <c r="J91"/>
  <c r="J27"/>
  <c r="J63"/>
  <c r="J70"/>
  <c r="J54"/>
  <c r="J34"/>
  <c r="J16"/>
  <c r="J86"/>
  <c r="J116"/>
  <c r="J84"/>
  <c r="J68"/>
  <c r="J97"/>
  <c r="J81"/>
  <c r="J65"/>
  <c r="J26"/>
  <c r="J112"/>
  <c r="J43"/>
  <c r="J123"/>
  <c r="C164" i="1"/>
  <c r="D98"/>
  <c r="C98"/>
  <c r="D93"/>
  <c r="C93"/>
  <c r="D71"/>
  <c r="C71"/>
  <c r="D67"/>
  <c r="C67"/>
  <c r="D118"/>
  <c r="C118"/>
  <c r="D72"/>
  <c r="C72"/>
  <c r="D34"/>
  <c r="C34"/>
  <c r="D115"/>
  <c r="C115"/>
  <c r="D88"/>
  <c r="C88"/>
  <c r="D27"/>
  <c r="C27"/>
  <c r="D112"/>
  <c r="C112"/>
  <c r="D91"/>
  <c r="C91"/>
  <c r="D73"/>
  <c r="C73"/>
  <c r="D41"/>
  <c r="C41"/>
  <c r="D107"/>
  <c r="C107"/>
  <c r="D114"/>
  <c r="C146"/>
  <c r="C161"/>
  <c r="C150"/>
  <c r="C140"/>
  <c r="C135"/>
  <c r="D96"/>
  <c r="C96"/>
  <c r="D11"/>
  <c r="C11"/>
  <c r="C40"/>
  <c r="D15"/>
  <c r="C15"/>
  <c r="D47"/>
  <c r="C47"/>
  <c r="D40"/>
  <c r="D24"/>
  <c r="C24"/>
  <c r="D9"/>
  <c r="C9"/>
  <c r="C12"/>
  <c r="C13"/>
  <c r="C16"/>
  <c r="C18"/>
  <c r="C19"/>
  <c r="C20"/>
  <c r="C21"/>
  <c r="C22"/>
  <c r="C23"/>
  <c r="C25"/>
  <c r="C26"/>
  <c r="C28"/>
  <c r="C31"/>
  <c r="C37"/>
  <c r="C45"/>
  <c r="C48"/>
  <c r="C49"/>
  <c r="C53"/>
  <c r="C55"/>
  <c r="C56"/>
  <c r="C61"/>
  <c r="C64"/>
  <c r="C65"/>
  <c r="C68"/>
  <c r="C70"/>
  <c r="C74"/>
  <c r="C75"/>
  <c r="C76"/>
  <c r="C77"/>
  <c r="C78"/>
  <c r="C79"/>
  <c r="C82"/>
  <c r="C83"/>
  <c r="C84"/>
  <c r="C85"/>
  <c r="C87"/>
  <c r="C92"/>
  <c r="C97"/>
  <c r="C100"/>
  <c r="C101"/>
  <c r="C103"/>
  <c r="C105"/>
  <c r="C106"/>
  <c r="C108"/>
  <c r="C110"/>
  <c r="C111"/>
  <c r="C113"/>
  <c r="C114"/>
  <c r="C117"/>
  <c r="C120"/>
  <c r="C121"/>
  <c r="C122"/>
  <c r="C123"/>
  <c r="C129"/>
  <c r="D117"/>
  <c r="C155"/>
  <c r="D85"/>
  <c r="D12"/>
  <c r="D13"/>
  <c r="D16"/>
  <c r="D18"/>
  <c r="D19"/>
  <c r="D20"/>
  <c r="D21"/>
  <c r="D22"/>
  <c r="D23"/>
  <c r="D25"/>
  <c r="D26"/>
  <c r="D28"/>
  <c r="D31"/>
  <c r="D37"/>
  <c r="D43"/>
  <c r="D45"/>
  <c r="D48"/>
  <c r="D49"/>
  <c r="D53"/>
  <c r="D55"/>
  <c r="D56"/>
  <c r="D61"/>
  <c r="D64"/>
  <c r="D65"/>
  <c r="D68"/>
  <c r="D70"/>
  <c r="D74"/>
  <c r="D75"/>
  <c r="D76"/>
  <c r="D77"/>
  <c r="D78"/>
  <c r="D79"/>
  <c r="D82"/>
  <c r="D83"/>
  <c r="D84"/>
  <c r="D87"/>
  <c r="D92"/>
  <c r="D94"/>
  <c r="D97"/>
  <c r="D100"/>
  <c r="D101"/>
  <c r="D103"/>
  <c r="D105"/>
  <c r="D106"/>
  <c r="D108"/>
  <c r="D110"/>
  <c r="D111"/>
  <c r="D113"/>
  <c r="D120"/>
  <c r="D121"/>
  <c r="D122"/>
  <c r="D123"/>
  <c r="D129"/>
  <c r="F129"/>
  <c r="C141"/>
  <c r="C167"/>
  <c r="C138"/>
  <c r="C139"/>
  <c r="C142"/>
  <c r="C148"/>
  <c r="C152"/>
  <c r="C154"/>
  <c r="C156"/>
  <c r="C157"/>
  <c r="C162"/>
  <c r="C168"/>
  <c r="C171"/>
  <c r="C172"/>
  <c r="C173"/>
  <c r="C174"/>
  <c r="C175"/>
  <c r="C177"/>
  <c r="C178"/>
  <c r="E155"/>
  <c r="E178"/>
  <c r="D178"/>
  <c r="F178"/>
  <c r="E129"/>
  <c r="I124" i="3" l="1"/>
  <c r="J2"/>
  <c r="M124"/>
</calcChain>
</file>

<file path=xl/sharedStrings.xml><?xml version="1.0" encoding="utf-8"?>
<sst xmlns="http://schemas.openxmlformats.org/spreadsheetml/2006/main" count="437" uniqueCount="185">
  <si>
    <t>Gminy</t>
  </si>
  <si>
    <t>wykupionych</t>
  </si>
  <si>
    <t>Konarskiego 6</t>
  </si>
  <si>
    <t>Sz.Szeregów 3</t>
  </si>
  <si>
    <t>Sz.Szeregów 4a</t>
  </si>
  <si>
    <t>Słoneczna 2</t>
  </si>
  <si>
    <t>Słoneczna 4</t>
  </si>
  <si>
    <t>1 Maja 76</t>
  </si>
  <si>
    <t>1 Maja 82</t>
  </si>
  <si>
    <t>Wittenberga 4</t>
  </si>
  <si>
    <t>Wittenberga 6</t>
  </si>
  <si>
    <t>Wittenberga 11</t>
  </si>
  <si>
    <t>Wittenberga 12</t>
  </si>
  <si>
    <t>Żeromskiego 11</t>
  </si>
  <si>
    <t>Sienkiewicza 8</t>
  </si>
  <si>
    <t>Dekerta 2 b</t>
  </si>
  <si>
    <t xml:space="preserve">Narutowicza 25   </t>
  </si>
  <si>
    <t>Doczkała 4</t>
  </si>
  <si>
    <t>Mireckiego 63</t>
  </si>
  <si>
    <t>Moniuszki 13</t>
  </si>
  <si>
    <t>Moniuszki 32</t>
  </si>
  <si>
    <t>Smocza 2</t>
  </si>
  <si>
    <t>Łukasińskiego 18/20</t>
  </si>
  <si>
    <t>Ossowskiego 33</t>
  </si>
  <si>
    <t>Ossowskiego 31</t>
  </si>
  <si>
    <t>Rodzinna 1</t>
  </si>
  <si>
    <t>Rodzinna 3</t>
  </si>
  <si>
    <t>Rodzinna 5</t>
  </si>
  <si>
    <t>Ossowskiego 25 bl.3</t>
  </si>
  <si>
    <t>Ossowskiego 25 bl.4</t>
  </si>
  <si>
    <t>Ossowskiego 27</t>
  </si>
  <si>
    <t>Kościelna 6</t>
  </si>
  <si>
    <t>Mireckiego 54 bl.1</t>
  </si>
  <si>
    <t>Mireckiego 54 bl.2</t>
  </si>
  <si>
    <t>Mireckiego 58 bl.4</t>
  </si>
  <si>
    <t>Mireckiego 58 bl.5</t>
  </si>
  <si>
    <t>Mireckiego 58 bl.6</t>
  </si>
  <si>
    <t>Mireckiego 60 bl.2</t>
  </si>
  <si>
    <t>Mireckiego 60 bl.3</t>
  </si>
  <si>
    <t>Mireckiego 60 bl.7</t>
  </si>
  <si>
    <t>Mireckiego 60 bl.9</t>
  </si>
  <si>
    <t>Mireckiego 70</t>
  </si>
  <si>
    <t>Limanowskiego 14</t>
  </si>
  <si>
    <t>Limanowskiego 16</t>
  </si>
  <si>
    <t>Limanowskiego 17</t>
  </si>
  <si>
    <t>Limanowskiego 19</t>
  </si>
  <si>
    <t>Limanowskiego 20</t>
  </si>
  <si>
    <t>Limanowskiego 21</t>
  </si>
  <si>
    <t>Limanowskiego 22</t>
  </si>
  <si>
    <t>Limanowskiego 23</t>
  </si>
  <si>
    <t>Limanowskiego 24</t>
  </si>
  <si>
    <t>Limanowskiego 26</t>
  </si>
  <si>
    <t>Limanowskiego 28</t>
  </si>
  <si>
    <t>Limanowskiego 29</t>
  </si>
  <si>
    <t>Limanowskiego 32</t>
  </si>
  <si>
    <t>Limanowskiego 37 a</t>
  </si>
  <si>
    <t>Strażacka 3</t>
  </si>
  <si>
    <t>1 Maja 53</t>
  </si>
  <si>
    <t>1 Maja 55</t>
  </si>
  <si>
    <t>1 Maja 57</t>
  </si>
  <si>
    <t>1 Maja 59</t>
  </si>
  <si>
    <t>Kościelna 3</t>
  </si>
  <si>
    <t>Kościelna 8</t>
  </si>
  <si>
    <t>Kościelna 15</t>
  </si>
  <si>
    <t>Kościelna 4</t>
  </si>
  <si>
    <t>Mireckiego 64</t>
  </si>
  <si>
    <t>Kościelna 7</t>
  </si>
  <si>
    <t>Kościuszki 18</t>
  </si>
  <si>
    <t>Kościuszki 20</t>
  </si>
  <si>
    <t>Kościuszki 22</t>
  </si>
  <si>
    <t xml:space="preserve">Kościuszki 24 </t>
  </si>
  <si>
    <t>Kościuszki 26</t>
  </si>
  <si>
    <t>Kościuszki 28</t>
  </si>
  <si>
    <t>Kościuszki 29</t>
  </si>
  <si>
    <t>Kościuszki 30</t>
  </si>
  <si>
    <t>Kościuszki 31</t>
  </si>
  <si>
    <t>Kościuszki 33</t>
  </si>
  <si>
    <t>Kościuszki 35 a</t>
  </si>
  <si>
    <t>Kościuszki 37</t>
  </si>
  <si>
    <t>Kościuszki 47</t>
  </si>
  <si>
    <t>Pr.Wyszyńskiego 1</t>
  </si>
  <si>
    <t>Pr.Wyszyńskiego 2</t>
  </si>
  <si>
    <t>Pr.Wyszyńskiego 3</t>
  </si>
  <si>
    <t>Pr.Wyszyńskiego 4</t>
  </si>
  <si>
    <t>Pr.Wyszynskiego 8</t>
  </si>
  <si>
    <t>Pr.Wyszyńskiego 9</t>
  </si>
  <si>
    <t>Pr.Wyszyńskiego 10</t>
  </si>
  <si>
    <t>Narutowicza 24 b</t>
  </si>
  <si>
    <t>Narutowicza 26 b</t>
  </si>
  <si>
    <t>Narutowicza 28</t>
  </si>
  <si>
    <t>Narutowicza 38</t>
  </si>
  <si>
    <t>Narutowicza 40</t>
  </si>
  <si>
    <t>Żeromskiego 2</t>
  </si>
  <si>
    <t>Żeromskiego 5a</t>
  </si>
  <si>
    <t>Żeromskiego 6</t>
  </si>
  <si>
    <t>Żeromskiego 10</t>
  </si>
  <si>
    <t>Pl.J.Pawła 5</t>
  </si>
  <si>
    <t>Sławińskiego 2</t>
  </si>
  <si>
    <t>Sławińskiego 3</t>
  </si>
  <si>
    <t>Sławińskiego 4</t>
  </si>
  <si>
    <t>Farbiarska 2</t>
  </si>
  <si>
    <t>Kanałowa 1</t>
  </si>
  <si>
    <t>Limanowskiego 36a</t>
  </si>
  <si>
    <t>POW 4</t>
  </si>
  <si>
    <t>Limanowskiego 12 g</t>
  </si>
  <si>
    <t>Limanowskiego 12 h</t>
  </si>
  <si>
    <t>Limanowsiego 31b</t>
  </si>
  <si>
    <t>Kościuszki 36</t>
  </si>
  <si>
    <t>Żeromskiego 4</t>
  </si>
  <si>
    <t>Waryńskiego 9</t>
  </si>
  <si>
    <t>1 Maja 38 fr.</t>
  </si>
  <si>
    <t>Limanowskiego 34</t>
  </si>
  <si>
    <t>Staszica 4</t>
  </si>
  <si>
    <t>Kanałowa 3</t>
  </si>
  <si>
    <t>Mireckiego 68</t>
  </si>
  <si>
    <t>Razem</t>
  </si>
  <si>
    <t>RAZEM</t>
  </si>
  <si>
    <t>Waryńskiego 21 a</t>
  </si>
  <si>
    <t>Dekerta 12 fr + of</t>
  </si>
  <si>
    <t>Kościelna 11</t>
  </si>
  <si>
    <t>Dittricha 8</t>
  </si>
  <si>
    <t>Lp</t>
  </si>
  <si>
    <t>Adres</t>
  </si>
  <si>
    <t>Powierzchnia lokali mieszkalnych</t>
  </si>
  <si>
    <t>Powierzchnia lokali użytkowych</t>
  </si>
  <si>
    <t>Ks.Ściegiennego 3</t>
  </si>
  <si>
    <t>WSPÓLNOTY MIESZKANIOWE ZARZĄDZANE PRZEZ OBCYCH ZARZĄDCÓW</t>
  </si>
  <si>
    <t>Środkowa 11</t>
  </si>
  <si>
    <t>Środkowa 13</t>
  </si>
  <si>
    <t>Armii Krajowej 8</t>
  </si>
  <si>
    <t>Armii Krajowej 2</t>
  </si>
  <si>
    <t>Armii Krajowej 4</t>
  </si>
  <si>
    <t>Kościuszki 32</t>
  </si>
  <si>
    <r>
      <t>Powierzchnia lokali mieszkalnych [m</t>
    </r>
    <r>
      <rPr>
        <b/>
        <sz val="10"/>
        <rFont val="Arial"/>
        <family val="2"/>
        <charset val="238"/>
      </rPr>
      <t>²</t>
    </r>
    <r>
      <rPr>
        <b/>
        <sz val="10"/>
        <rFont val="Times New Roman"/>
        <family val="1"/>
        <charset val="238"/>
      </rPr>
      <t>]</t>
    </r>
  </si>
  <si>
    <t>Powierzchnia lokali użytkowych [m²]</t>
  </si>
  <si>
    <t>Doczkała 2</t>
  </si>
  <si>
    <t>Girarda 2</t>
  </si>
  <si>
    <t>Konarskiego 4</t>
  </si>
  <si>
    <t>Kościelna 5</t>
  </si>
  <si>
    <t>Kościelna 9</t>
  </si>
  <si>
    <t>Kościelna 13</t>
  </si>
  <si>
    <t>Kościuszki 39</t>
  </si>
  <si>
    <t>Kościuszki 43</t>
  </si>
  <si>
    <t>Krótka 25</t>
  </si>
  <si>
    <t>Kościuszki 41</t>
  </si>
  <si>
    <t>Limanowskiego 43</t>
  </si>
  <si>
    <t>Limanowskiego 33b</t>
  </si>
  <si>
    <t>Limanowskiego 56</t>
  </si>
  <si>
    <t>Mireckiego 60 bl. 8</t>
  </si>
  <si>
    <t>Mireckiego 97</t>
  </si>
  <si>
    <t>Mireckiego 103</t>
  </si>
  <si>
    <t>Narutowicza 32</t>
  </si>
  <si>
    <t>Narutowicza 34</t>
  </si>
  <si>
    <t>Narutowicza 36</t>
  </si>
  <si>
    <t>Ossowskirgo 25 bl. 2</t>
  </si>
  <si>
    <t>Sienkiewicza 6</t>
  </si>
  <si>
    <t>Szpitalna 3</t>
  </si>
  <si>
    <t>Środkowa 15</t>
  </si>
  <si>
    <t>Środkowa 29</t>
  </si>
  <si>
    <t>Wittenberga 9</t>
  </si>
  <si>
    <t>Wittengerga 10</t>
  </si>
  <si>
    <t>Wyszyńskiego 6</t>
  </si>
  <si>
    <t>Wyszyńskiego 7</t>
  </si>
  <si>
    <t>Wyszyńskirgo 11</t>
  </si>
  <si>
    <t>Armi Krajowej 12</t>
  </si>
  <si>
    <t>Towarowa 14</t>
  </si>
  <si>
    <t>1 Maja 54</t>
  </si>
  <si>
    <t>Okrzei 51 B</t>
  </si>
  <si>
    <t>Spółdzielcza 50</t>
  </si>
  <si>
    <t>Limanowskiego 13C</t>
  </si>
  <si>
    <t>Limanowskiego 13D</t>
  </si>
  <si>
    <t>Mostowa 9/11</t>
  </si>
  <si>
    <t>Ossowskiego 25 bl. 1</t>
  </si>
  <si>
    <t>Legionów Polskich 71</t>
  </si>
  <si>
    <t>Legionów Polskich 72</t>
  </si>
  <si>
    <t>Legionów Polskich 76</t>
  </si>
  <si>
    <t>Dział Zarządzania Budynkami</t>
  </si>
  <si>
    <t>Dział Rozliczeniowy Czynszowy</t>
  </si>
  <si>
    <t>Żyrardów, dnia 24.09.2015 r.</t>
  </si>
  <si>
    <t xml:space="preserve">W załączeniu DZB przekazuje uchwły Wspólnot Mieszkaniowych, którymi zarządza </t>
  </si>
  <si>
    <t>nasza Spółka, dotyczące zatwierdzenia sprawozdań finansowych za 2014 r.:</t>
  </si>
  <si>
    <t>Ks. Ściegiennego 3</t>
  </si>
  <si>
    <t>6 budynków WM lokale wykupione w 100%</t>
  </si>
  <si>
    <t>Po uzgodnieniu</t>
  </si>
  <si>
    <t>III  Budynki Wspólnot Mieszkaniowych zarządzanych przez PGM na dzień 31.10.2016 r.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</si>
</sst>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5" formatCode="_-* #,##0.000\ _z_ł_-;\-* #,##0.000\ _z_ł_-;_-* &quot;-&quot;??\ _z_ł_-;_-@_-"/>
    <numFmt numFmtId="167" formatCode="_-* #,##0\ _z_ł_-;\-* #,##0\ _z_ł_-;_-* &quot;-&quot;??\ _z_ł_-;_-@_-"/>
  </numFmts>
  <fonts count="6">
    <font>
      <sz val="10"/>
      <name val="Arial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left"/>
    </xf>
    <xf numFmtId="43" fontId="3" fillId="0" borderId="1" xfId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43" fontId="3" fillId="0" borderId="1" xfId="1" applyFont="1" applyFill="1" applyBorder="1" applyAlignment="1">
      <alignment horizontal="right"/>
    </xf>
    <xf numFmtId="0" fontId="3" fillId="0" borderId="1" xfId="0" applyFont="1" applyBorder="1" applyAlignment="1"/>
    <xf numFmtId="43" fontId="2" fillId="0" borderId="2" xfId="1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4" xfId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2" fillId="0" borderId="2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3" fontId="3" fillId="0" borderId="9" xfId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2" fillId="0" borderId="0" xfId="1" applyFont="1" applyBorder="1" applyAlignment="1">
      <alignment horizontal="right"/>
    </xf>
    <xf numFmtId="43" fontId="2" fillId="0" borderId="0" xfId="1" applyFont="1" applyBorder="1"/>
    <xf numFmtId="0" fontId="4" fillId="0" borderId="0" xfId="0" applyFont="1"/>
    <xf numFmtId="43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left" vertical="center"/>
    </xf>
    <xf numFmtId="0" fontId="2" fillId="0" borderId="0" xfId="0" applyFont="1"/>
    <xf numFmtId="0" fontId="2" fillId="0" borderId="11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7" fontId="3" fillId="0" borderId="1" xfId="1" applyNumberFormat="1" applyFont="1" applyBorder="1" applyAlignment="1">
      <alignment horizontal="right"/>
    </xf>
    <xf numFmtId="43" fontId="3" fillId="0" borderId="1" xfId="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/>
    <xf numFmtId="0" fontId="3" fillId="2" borderId="1" xfId="0" applyFont="1" applyFill="1" applyBorder="1" applyAlignment="1">
      <alignment horizontal="left"/>
    </xf>
    <xf numFmtId="43" fontId="3" fillId="2" borderId="1" xfId="1" applyFont="1" applyFill="1" applyBorder="1" applyAlignment="1">
      <alignment horizontal="right"/>
    </xf>
    <xf numFmtId="43" fontId="3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Alignment="1"/>
    <xf numFmtId="165" fontId="3" fillId="3" borderId="4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43" fontId="2" fillId="0" borderId="12" xfId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/>
    <xf numFmtId="43" fontId="3" fillId="0" borderId="1" xfId="1" applyFont="1" applyBorder="1" applyAlignment="1"/>
    <xf numFmtId="0" fontId="3" fillId="0" borderId="6" xfId="0" applyFont="1" applyBorder="1" applyAlignment="1"/>
    <xf numFmtId="43" fontId="3" fillId="0" borderId="1" xfId="0" applyNumberFormat="1" applyFont="1" applyBorder="1" applyAlignment="1"/>
    <xf numFmtId="165" fontId="3" fillId="3" borderId="1" xfId="0" applyNumberFormat="1" applyFont="1" applyFill="1" applyBorder="1" applyAlignment="1"/>
    <xf numFmtId="0" fontId="3" fillId="0" borderId="5" xfId="0" applyFont="1" applyBorder="1" applyAlignment="1"/>
    <xf numFmtId="0" fontId="0" fillId="0" borderId="15" xfId="0" applyBorder="1" applyAlignment="1"/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3" fontId="3" fillId="3" borderId="1" xfId="1" applyFont="1" applyFill="1" applyBorder="1" applyAlignment="1">
      <alignment horizontal="right"/>
    </xf>
    <xf numFmtId="43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/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2" fillId="0" borderId="21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0" fillId="0" borderId="20" xfId="0" applyBorder="1"/>
    <xf numFmtId="0" fontId="2" fillId="0" borderId="16" xfId="0" applyFont="1" applyBorder="1" applyAlignment="1">
      <alignment horizontal="center" vertical="center"/>
    </xf>
    <xf numFmtId="0" fontId="0" fillId="0" borderId="12" xfId="0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Normal="100" workbookViewId="0">
      <pane ySplit="6" topLeftCell="A94" activePane="bottomLeft" state="frozen"/>
      <selection pane="bottomLeft" activeCell="G5" sqref="G5:P30"/>
    </sheetView>
  </sheetViews>
  <sheetFormatPr defaultRowHeight="12.75"/>
  <cols>
    <col min="1" max="1" width="3.42578125" style="5" customWidth="1"/>
    <col min="2" max="2" width="17" style="5" customWidth="1"/>
    <col min="3" max="4" width="11.85546875" style="5" customWidth="1"/>
    <col min="5" max="5" width="10.7109375" style="5" customWidth="1"/>
    <col min="6" max="6" width="16.42578125" style="5" customWidth="1"/>
    <col min="7" max="16384" width="9.140625" style="5"/>
  </cols>
  <sheetData>
    <row r="1" spans="1:7">
      <c r="A1" s="36" t="s">
        <v>183</v>
      </c>
    </row>
    <row r="3" spans="1:7">
      <c r="A3" s="56" t="s">
        <v>184</v>
      </c>
      <c r="B3" s="56"/>
      <c r="C3" s="56"/>
      <c r="D3" s="56"/>
      <c r="E3" s="56"/>
      <c r="F3" s="56"/>
    </row>
    <row r="4" spans="1:7" ht="13.5" thickBot="1"/>
    <row r="5" spans="1:7" s="2" customFormat="1" ht="32.25" customHeight="1">
      <c r="A5" s="85" t="s">
        <v>121</v>
      </c>
      <c r="B5" s="87" t="s">
        <v>122</v>
      </c>
      <c r="C5" s="89" t="s">
        <v>133</v>
      </c>
      <c r="D5" s="90"/>
      <c r="E5" s="89" t="s">
        <v>134</v>
      </c>
      <c r="F5" s="90"/>
      <c r="G5" s="1"/>
    </row>
    <row r="6" spans="1:7" s="4" customFormat="1" ht="34.5" customHeight="1" thickBot="1">
      <c r="A6" s="86"/>
      <c r="B6" s="88"/>
      <c r="C6" s="42" t="s">
        <v>0</v>
      </c>
      <c r="D6" s="64" t="s">
        <v>1</v>
      </c>
      <c r="E6" s="42" t="s">
        <v>0</v>
      </c>
      <c r="F6" s="64" t="s">
        <v>1</v>
      </c>
      <c r="G6" s="3"/>
    </row>
    <row r="7" spans="1:7">
      <c r="A7" s="16">
        <v>1</v>
      </c>
      <c r="B7" s="27" t="s">
        <v>110</v>
      </c>
      <c r="C7" s="17">
        <v>170.24</v>
      </c>
      <c r="D7" s="17">
        <v>0</v>
      </c>
      <c r="E7" s="17">
        <v>18.600000000000001</v>
      </c>
      <c r="F7" s="17">
        <v>129.07</v>
      </c>
    </row>
    <row r="8" spans="1:7">
      <c r="A8" s="21">
        <v>2</v>
      </c>
      <c r="B8" s="6" t="s">
        <v>57</v>
      </c>
      <c r="C8" s="7">
        <v>120.32</v>
      </c>
      <c r="D8" s="7">
        <v>200.98</v>
      </c>
      <c r="E8" s="7">
        <v>0</v>
      </c>
      <c r="F8" s="7">
        <v>0</v>
      </c>
    </row>
    <row r="9" spans="1:7">
      <c r="A9" s="21">
        <v>3</v>
      </c>
      <c r="B9" s="6" t="s">
        <v>166</v>
      </c>
      <c r="C9" s="7">
        <f>163.56-58.45</f>
        <v>105.11</v>
      </c>
      <c r="D9" s="7">
        <f>515.01+58.45</f>
        <v>573.46</v>
      </c>
      <c r="E9" s="7">
        <v>336.6</v>
      </c>
      <c r="F9" s="7"/>
    </row>
    <row r="10" spans="1:7">
      <c r="A10" s="21">
        <v>4</v>
      </c>
      <c r="B10" s="6" t="s">
        <v>58</v>
      </c>
      <c r="C10" s="7">
        <v>462.7</v>
      </c>
      <c r="D10" s="7">
        <v>120.84</v>
      </c>
      <c r="E10" s="7">
        <v>0</v>
      </c>
      <c r="F10" s="7">
        <v>0</v>
      </c>
    </row>
    <row r="11" spans="1:7">
      <c r="A11" s="21">
        <v>5</v>
      </c>
      <c r="B11" s="6" t="s">
        <v>59</v>
      </c>
      <c r="C11" s="7">
        <f>565.13-103.14+5.8-112.24-25.75</f>
        <v>329.8</v>
      </c>
      <c r="D11" s="7">
        <f>44+103.14+112.24+25.75</f>
        <v>285.13</v>
      </c>
      <c r="E11" s="7">
        <v>0</v>
      </c>
      <c r="F11" s="7">
        <v>0</v>
      </c>
    </row>
    <row r="12" spans="1:7">
      <c r="A12" s="21">
        <v>6</v>
      </c>
      <c r="B12" s="6" t="s">
        <v>7</v>
      </c>
      <c r="C12" s="7">
        <f>519.1-53.8</f>
        <v>465.3</v>
      </c>
      <c r="D12" s="7">
        <f>771.75+53.8</f>
        <v>825.55</v>
      </c>
      <c r="E12" s="7">
        <v>0</v>
      </c>
      <c r="F12" s="7">
        <v>272.8</v>
      </c>
    </row>
    <row r="13" spans="1:7">
      <c r="A13" s="21">
        <v>7</v>
      </c>
      <c r="B13" s="6" t="s">
        <v>8</v>
      </c>
      <c r="C13" s="7">
        <f>396.1-52.9-45.8</f>
        <v>297.40000000000003</v>
      </c>
      <c r="D13" s="7">
        <f>1078.3+52.9+45.8</f>
        <v>1177</v>
      </c>
      <c r="E13" s="7">
        <v>0</v>
      </c>
      <c r="F13" s="7">
        <v>256.12</v>
      </c>
    </row>
    <row r="14" spans="1:7">
      <c r="A14" s="21">
        <v>8</v>
      </c>
      <c r="B14" s="6" t="s">
        <v>129</v>
      </c>
      <c r="C14" s="7">
        <v>181.8</v>
      </c>
      <c r="D14" s="7">
        <v>164.06</v>
      </c>
      <c r="E14" s="7">
        <v>0</v>
      </c>
      <c r="F14" s="7">
        <v>0</v>
      </c>
    </row>
    <row r="15" spans="1:7">
      <c r="A15" s="21">
        <v>9</v>
      </c>
      <c r="B15" s="6" t="s">
        <v>130</v>
      </c>
      <c r="C15" s="7">
        <f>214.11-57.42-21.87</f>
        <v>134.82</v>
      </c>
      <c r="D15" s="7">
        <f>127.6+57.42+21.87</f>
        <v>206.89</v>
      </c>
      <c r="E15" s="7">
        <v>0</v>
      </c>
      <c r="F15" s="7">
        <v>0</v>
      </c>
    </row>
    <row r="16" spans="1:7">
      <c r="A16" s="21">
        <v>10</v>
      </c>
      <c r="B16" s="6" t="s">
        <v>118</v>
      </c>
      <c r="C16" s="7">
        <f>346.41+3.54-77.4</f>
        <v>272.55000000000007</v>
      </c>
      <c r="D16" s="7">
        <f>101.61+77.4</f>
        <v>179.01</v>
      </c>
      <c r="E16" s="7">
        <v>0</v>
      </c>
      <c r="F16" s="7">
        <v>0</v>
      </c>
    </row>
    <row r="17" spans="1:6">
      <c r="A17" s="21">
        <v>11</v>
      </c>
      <c r="B17" s="10" t="s">
        <v>120</v>
      </c>
      <c r="C17" s="7">
        <v>767.67</v>
      </c>
      <c r="D17" s="7">
        <v>38.619999999999997</v>
      </c>
      <c r="E17" s="7">
        <v>0</v>
      </c>
      <c r="F17" s="7">
        <v>0</v>
      </c>
    </row>
    <row r="18" spans="1:6">
      <c r="A18" s="21">
        <v>12</v>
      </c>
      <c r="B18" s="6" t="s">
        <v>15</v>
      </c>
      <c r="C18" s="7">
        <f>491.11-46.71-46.71</f>
        <v>397.69000000000005</v>
      </c>
      <c r="D18" s="7">
        <f>91.15+46.71+46.71</f>
        <v>184.57000000000002</v>
      </c>
      <c r="E18" s="7">
        <v>0</v>
      </c>
      <c r="F18" s="7">
        <v>0</v>
      </c>
    </row>
    <row r="19" spans="1:6">
      <c r="A19" s="21">
        <v>13</v>
      </c>
      <c r="B19" s="6" t="s">
        <v>17</v>
      </c>
      <c r="C19" s="7">
        <f>1109.38-40.45-41.17-4.44-23.09</f>
        <v>1000.2299999999999</v>
      </c>
      <c r="D19" s="7">
        <f>184.75+40.45+41.17+23.09</f>
        <v>289.45999999999998</v>
      </c>
      <c r="E19" s="7">
        <v>0</v>
      </c>
      <c r="F19" s="7">
        <v>0</v>
      </c>
    </row>
    <row r="20" spans="1:6">
      <c r="A20" s="21">
        <v>14</v>
      </c>
      <c r="B20" s="6" t="s">
        <v>100</v>
      </c>
      <c r="C20" s="7">
        <f>624.13+5.67-107.32-83.7</f>
        <v>438.78000000000003</v>
      </c>
      <c r="D20" s="7">
        <f>183.47+107.32+83.7</f>
        <v>374.48999999999995</v>
      </c>
      <c r="E20" s="7">
        <v>0</v>
      </c>
      <c r="F20" s="7">
        <v>0</v>
      </c>
    </row>
    <row r="21" spans="1:6">
      <c r="A21" s="21">
        <v>15</v>
      </c>
      <c r="B21" s="6" t="s">
        <v>101</v>
      </c>
      <c r="C21" s="7">
        <f>231.41-38.9-38</f>
        <v>154.51</v>
      </c>
      <c r="D21" s="7">
        <f>79.74+38.9+38</f>
        <v>156.63999999999999</v>
      </c>
      <c r="E21" s="7">
        <v>0</v>
      </c>
      <c r="F21" s="7">
        <v>0</v>
      </c>
    </row>
    <row r="22" spans="1:6">
      <c r="A22" s="21">
        <v>16</v>
      </c>
      <c r="B22" s="11" t="s">
        <v>113</v>
      </c>
      <c r="C22" s="7">
        <f>300.5-48.81-40.75</f>
        <v>210.94</v>
      </c>
      <c r="D22" s="7">
        <f>40.75+48.81+40.75</f>
        <v>130.31</v>
      </c>
      <c r="E22" s="7">
        <v>0</v>
      </c>
      <c r="F22" s="7">
        <v>0</v>
      </c>
    </row>
    <row r="23" spans="1:6" s="52" customFormat="1">
      <c r="A23" s="21">
        <v>17</v>
      </c>
      <c r="B23" s="53" t="s">
        <v>2</v>
      </c>
      <c r="C23" s="54">
        <f>218.57-200.72-17.85</f>
        <v>0</v>
      </c>
      <c r="D23" s="54">
        <f>1442.11+200.72+17.85</f>
        <v>1660.6799999999998</v>
      </c>
      <c r="E23" s="54">
        <v>0</v>
      </c>
      <c r="F23" s="54">
        <v>0</v>
      </c>
    </row>
    <row r="24" spans="1:6">
      <c r="A24" s="21">
        <v>18</v>
      </c>
      <c r="B24" s="6" t="s">
        <v>119</v>
      </c>
      <c r="C24" s="7">
        <f>260.9-22</f>
        <v>238.89999999999998</v>
      </c>
      <c r="D24" s="7">
        <f>22+22</f>
        <v>44</v>
      </c>
      <c r="E24" s="7">
        <v>0</v>
      </c>
      <c r="F24" s="7">
        <v>0</v>
      </c>
    </row>
    <row r="25" spans="1:6">
      <c r="A25" s="21">
        <v>19</v>
      </c>
      <c r="B25" s="6" t="s">
        <v>63</v>
      </c>
      <c r="C25" s="7">
        <f>218.3-24.25</f>
        <v>194.05</v>
      </c>
      <c r="D25" s="7">
        <f>81.41+24.25</f>
        <v>105.66</v>
      </c>
      <c r="E25" s="7">
        <v>0</v>
      </c>
      <c r="F25" s="7">
        <v>0</v>
      </c>
    </row>
    <row r="26" spans="1:6">
      <c r="A26" s="21">
        <v>20</v>
      </c>
      <c r="B26" s="6" t="s">
        <v>61</v>
      </c>
      <c r="C26" s="7">
        <f>226.98-38</f>
        <v>188.98</v>
      </c>
      <c r="D26" s="7">
        <f>77.45+38</f>
        <v>115.45</v>
      </c>
      <c r="E26" s="7">
        <v>0</v>
      </c>
      <c r="F26" s="7">
        <v>0</v>
      </c>
    </row>
    <row r="27" spans="1:6">
      <c r="A27" s="21">
        <v>21</v>
      </c>
      <c r="B27" s="6" t="s">
        <v>64</v>
      </c>
      <c r="C27" s="7">
        <f>369.2+35.34+7.21-61.39-13.41</f>
        <v>336.94999999999993</v>
      </c>
      <c r="D27" s="7">
        <f>197.84+74.8</f>
        <v>272.64</v>
      </c>
      <c r="E27" s="7">
        <v>0</v>
      </c>
      <c r="F27" s="7">
        <v>0</v>
      </c>
    </row>
    <row r="28" spans="1:6">
      <c r="A28" s="21">
        <v>22</v>
      </c>
      <c r="B28" s="6" t="s">
        <v>31</v>
      </c>
      <c r="C28" s="7">
        <f>585.09-345.53-39.24</f>
        <v>200.32000000000005</v>
      </c>
      <c r="D28" s="47">
        <f>282.19+345.53+39.24</f>
        <v>666.96</v>
      </c>
      <c r="E28" s="7">
        <v>0</v>
      </c>
      <c r="F28" s="7">
        <v>0</v>
      </c>
    </row>
    <row r="29" spans="1:6">
      <c r="A29" s="21">
        <v>23</v>
      </c>
      <c r="B29" s="6" t="s">
        <v>66</v>
      </c>
      <c r="C29" s="7">
        <v>51.2</v>
      </c>
      <c r="D29" s="7">
        <v>97.56</v>
      </c>
      <c r="E29" s="7">
        <v>0</v>
      </c>
      <c r="F29" s="7">
        <v>0</v>
      </c>
    </row>
    <row r="30" spans="1:6">
      <c r="A30" s="21">
        <v>24</v>
      </c>
      <c r="B30" s="6" t="s">
        <v>62</v>
      </c>
      <c r="C30" s="7">
        <v>204.57</v>
      </c>
      <c r="D30" s="7">
        <v>246.63</v>
      </c>
      <c r="E30" s="7">
        <v>0</v>
      </c>
      <c r="F30" s="7">
        <v>0</v>
      </c>
    </row>
    <row r="31" spans="1:6">
      <c r="A31" s="21">
        <v>25</v>
      </c>
      <c r="B31" s="6" t="s">
        <v>67</v>
      </c>
      <c r="C31" s="7">
        <f>107.59+3.48-32.53</f>
        <v>78.540000000000006</v>
      </c>
      <c r="D31" s="7">
        <f>107.37+32.53</f>
        <v>139.9</v>
      </c>
      <c r="E31" s="7">
        <v>0</v>
      </c>
      <c r="F31" s="7">
        <v>0</v>
      </c>
    </row>
    <row r="32" spans="1:6">
      <c r="A32" s="21">
        <v>26</v>
      </c>
      <c r="B32" s="6" t="s">
        <v>68</v>
      </c>
      <c r="C32" s="7">
        <v>117.77</v>
      </c>
      <c r="D32" s="7">
        <v>95.48</v>
      </c>
      <c r="E32" s="7">
        <v>0</v>
      </c>
      <c r="F32" s="7">
        <v>0</v>
      </c>
    </row>
    <row r="33" spans="1:6">
      <c r="A33" s="21">
        <v>27</v>
      </c>
      <c r="B33" s="6" t="s">
        <v>69</v>
      </c>
      <c r="C33" s="7">
        <v>108.82</v>
      </c>
      <c r="D33" s="7">
        <v>103.91</v>
      </c>
      <c r="E33" s="7">
        <v>0</v>
      </c>
      <c r="F33" s="7">
        <v>0</v>
      </c>
    </row>
    <row r="34" spans="1:6">
      <c r="A34" s="21">
        <v>28</v>
      </c>
      <c r="B34" s="6" t="s">
        <v>70</v>
      </c>
      <c r="C34" s="7">
        <f>106.57-42.52</f>
        <v>64.049999999999983</v>
      </c>
      <c r="D34" s="7">
        <f>106.66+42.52</f>
        <v>149.18</v>
      </c>
      <c r="E34" s="7">
        <v>0</v>
      </c>
      <c r="F34" s="7">
        <v>0</v>
      </c>
    </row>
    <row r="35" spans="1:6">
      <c r="A35" s="21">
        <v>29</v>
      </c>
      <c r="B35" s="6" t="s">
        <v>71</v>
      </c>
      <c r="C35" s="7">
        <v>162.31</v>
      </c>
      <c r="D35" s="7">
        <v>85.1</v>
      </c>
      <c r="E35" s="7">
        <v>0</v>
      </c>
      <c r="F35" s="7">
        <v>0</v>
      </c>
    </row>
    <row r="36" spans="1:6">
      <c r="A36" s="21">
        <v>30</v>
      </c>
      <c r="B36" s="6" t="s">
        <v>72</v>
      </c>
      <c r="C36" s="7">
        <v>142</v>
      </c>
      <c r="D36" s="7">
        <v>73.88</v>
      </c>
      <c r="E36" s="7">
        <v>0</v>
      </c>
      <c r="F36" s="7">
        <v>0</v>
      </c>
    </row>
    <row r="37" spans="1:6">
      <c r="A37" s="21">
        <v>31</v>
      </c>
      <c r="B37" s="6" t="s">
        <v>73</v>
      </c>
      <c r="C37" s="7">
        <f>633.18-55.96-3.82</f>
        <v>573.39999999999986</v>
      </c>
      <c r="D37" s="7">
        <f>175.01+55.96</f>
        <v>230.97</v>
      </c>
      <c r="E37" s="7">
        <v>21.16</v>
      </c>
      <c r="F37" s="7">
        <v>50.1</v>
      </c>
    </row>
    <row r="38" spans="1:6">
      <c r="A38" s="21">
        <v>32</v>
      </c>
      <c r="B38" s="6" t="s">
        <v>74</v>
      </c>
      <c r="C38" s="7">
        <v>139.53</v>
      </c>
      <c r="D38" s="7">
        <v>75.75</v>
      </c>
      <c r="E38" s="7">
        <v>0</v>
      </c>
      <c r="F38" s="7">
        <v>0</v>
      </c>
    </row>
    <row r="39" spans="1:6">
      <c r="A39" s="21">
        <v>33</v>
      </c>
      <c r="B39" s="6" t="s">
        <v>75</v>
      </c>
      <c r="C39" s="7">
        <v>295.79000000000002</v>
      </c>
      <c r="D39" s="7">
        <v>97.4</v>
      </c>
      <c r="E39" s="7">
        <v>0</v>
      </c>
      <c r="F39" s="7">
        <v>0</v>
      </c>
    </row>
    <row r="40" spans="1:6">
      <c r="A40" s="21">
        <v>34</v>
      </c>
      <c r="B40" s="6" t="s">
        <v>76</v>
      </c>
      <c r="C40" s="7">
        <f>215.58-24.95-6.06-2.06</f>
        <v>182.51000000000002</v>
      </c>
      <c r="D40" s="7">
        <f>117.62+24.95-4.74</f>
        <v>137.82999999999998</v>
      </c>
      <c r="E40" s="7">
        <v>0</v>
      </c>
      <c r="F40" s="7">
        <v>0</v>
      </c>
    </row>
    <row r="41" spans="1:6">
      <c r="A41" s="21">
        <v>35</v>
      </c>
      <c r="B41" s="6" t="s">
        <v>77</v>
      </c>
      <c r="C41" s="7">
        <f>304.17-47.5</f>
        <v>256.67</v>
      </c>
      <c r="D41" s="7">
        <f>23.75+47.5</f>
        <v>71.25</v>
      </c>
      <c r="E41" s="7">
        <v>0</v>
      </c>
      <c r="F41" s="7">
        <v>0</v>
      </c>
    </row>
    <row r="42" spans="1:6">
      <c r="A42" s="21">
        <v>36</v>
      </c>
      <c r="B42" s="6" t="s">
        <v>107</v>
      </c>
      <c r="C42" s="7">
        <v>198.01</v>
      </c>
      <c r="D42" s="7">
        <v>81.62</v>
      </c>
      <c r="E42" s="7">
        <v>0</v>
      </c>
      <c r="F42" s="7">
        <v>0</v>
      </c>
    </row>
    <row r="43" spans="1:6">
      <c r="A43" s="21">
        <v>37</v>
      </c>
      <c r="B43" s="6" t="s">
        <v>78</v>
      </c>
      <c r="C43" s="7">
        <f>239.39-17.21</f>
        <v>222.17999999999998</v>
      </c>
      <c r="D43" s="7">
        <f>89.21+17.21</f>
        <v>106.41999999999999</v>
      </c>
      <c r="E43" s="7">
        <v>0</v>
      </c>
      <c r="F43" s="7">
        <v>0</v>
      </c>
    </row>
    <row r="44" spans="1:6">
      <c r="A44" s="21">
        <v>38</v>
      </c>
      <c r="B44" s="6" t="s">
        <v>142</v>
      </c>
      <c r="C44" s="7">
        <v>182.27</v>
      </c>
      <c r="D44" s="7">
        <v>116.72</v>
      </c>
      <c r="E44" s="7">
        <v>0</v>
      </c>
      <c r="F44" s="7">
        <v>0</v>
      </c>
    </row>
    <row r="45" spans="1:6">
      <c r="A45" s="21">
        <v>39</v>
      </c>
      <c r="B45" s="6" t="s">
        <v>79</v>
      </c>
      <c r="C45" s="7">
        <f>158.24-37.34</f>
        <v>120.9</v>
      </c>
      <c r="D45" s="7">
        <f>137.21+37.34</f>
        <v>174.55</v>
      </c>
      <c r="E45" s="7">
        <v>0</v>
      </c>
      <c r="F45" s="7">
        <v>0</v>
      </c>
    </row>
    <row r="46" spans="1:6">
      <c r="A46" s="21">
        <v>40</v>
      </c>
      <c r="B46" s="6" t="s">
        <v>132</v>
      </c>
      <c r="C46" s="7">
        <v>121.45</v>
      </c>
      <c r="D46" s="7">
        <v>32.75</v>
      </c>
      <c r="E46" s="7">
        <v>66.400000000000006</v>
      </c>
      <c r="F46" s="7">
        <v>0</v>
      </c>
    </row>
    <row r="47" spans="1:6">
      <c r="A47" s="21">
        <v>41</v>
      </c>
      <c r="B47" s="6" t="s">
        <v>173</v>
      </c>
      <c r="C47" s="7">
        <f>188.71</f>
        <v>188.71</v>
      </c>
      <c r="D47" s="7">
        <f>1258.65</f>
        <v>1258.6500000000001</v>
      </c>
      <c r="E47" s="7">
        <v>0</v>
      </c>
      <c r="F47" s="7">
        <v>0</v>
      </c>
    </row>
    <row r="48" spans="1:6">
      <c r="A48" s="21">
        <v>42</v>
      </c>
      <c r="B48" s="6" t="s">
        <v>174</v>
      </c>
      <c r="C48" s="7">
        <f>506.65-46.04</f>
        <v>460.60999999999996</v>
      </c>
      <c r="D48" s="7">
        <f>1131.93+46.04</f>
        <v>1177.97</v>
      </c>
      <c r="E48" s="7">
        <v>0</v>
      </c>
      <c r="F48" s="7">
        <v>0</v>
      </c>
    </row>
    <row r="49" spans="1:6">
      <c r="A49" s="21">
        <v>43</v>
      </c>
      <c r="B49" s="6" t="s">
        <v>175</v>
      </c>
      <c r="C49" s="7">
        <f>789.96-253.26-273.38</f>
        <v>263.32000000000005</v>
      </c>
      <c r="D49" s="7">
        <f>878.32+253.26+273.38</f>
        <v>1404.96</v>
      </c>
      <c r="E49" s="7">
        <v>0</v>
      </c>
      <c r="F49" s="7">
        <v>0</v>
      </c>
    </row>
    <row r="50" spans="1:6">
      <c r="A50" s="21">
        <v>44</v>
      </c>
      <c r="B50" s="6" t="s">
        <v>106</v>
      </c>
      <c r="C50" s="7">
        <v>214.46</v>
      </c>
      <c r="D50" s="7">
        <v>86.54</v>
      </c>
      <c r="E50" s="7">
        <v>0</v>
      </c>
      <c r="F50" s="7">
        <v>0</v>
      </c>
    </row>
    <row r="51" spans="1:6">
      <c r="A51" s="21">
        <v>45</v>
      </c>
      <c r="B51" s="6" t="s">
        <v>104</v>
      </c>
      <c r="C51" s="7">
        <v>195.29</v>
      </c>
      <c r="D51" s="7">
        <v>64</v>
      </c>
      <c r="E51" s="7">
        <v>0</v>
      </c>
      <c r="F51" s="7">
        <v>0</v>
      </c>
    </row>
    <row r="52" spans="1:6">
      <c r="A52" s="21">
        <v>46</v>
      </c>
      <c r="B52" s="6" t="s">
        <v>105</v>
      </c>
      <c r="C52" s="7">
        <v>164.07</v>
      </c>
      <c r="D52" s="7">
        <v>100.5</v>
      </c>
      <c r="E52" s="7">
        <v>0</v>
      </c>
      <c r="F52" s="7">
        <v>0</v>
      </c>
    </row>
    <row r="53" spans="1:6">
      <c r="A53" s="21">
        <v>47</v>
      </c>
      <c r="B53" s="6" t="s">
        <v>42</v>
      </c>
      <c r="C53" s="7">
        <f>160-11</f>
        <v>149</v>
      </c>
      <c r="D53" s="7">
        <f>98.74+11</f>
        <v>109.74</v>
      </c>
      <c r="E53" s="7">
        <v>0</v>
      </c>
      <c r="F53" s="7">
        <v>0</v>
      </c>
    </row>
    <row r="54" spans="1:6">
      <c r="A54" s="21">
        <v>48</v>
      </c>
      <c r="B54" s="6" t="s">
        <v>43</v>
      </c>
      <c r="C54" s="7">
        <v>227.39</v>
      </c>
      <c r="D54" s="7">
        <v>31.5</v>
      </c>
      <c r="E54" s="7">
        <v>0</v>
      </c>
      <c r="F54" s="7">
        <v>0</v>
      </c>
    </row>
    <row r="55" spans="1:6">
      <c r="A55" s="21">
        <v>49</v>
      </c>
      <c r="B55" s="6" t="s">
        <v>44</v>
      </c>
      <c r="C55" s="7">
        <f>94.5-31.5</f>
        <v>63</v>
      </c>
      <c r="D55" s="7">
        <f>112.5+31.5</f>
        <v>144</v>
      </c>
      <c r="E55" s="7">
        <v>0</v>
      </c>
      <c r="F55" s="7">
        <v>0</v>
      </c>
    </row>
    <row r="56" spans="1:6">
      <c r="A56" s="21">
        <v>50</v>
      </c>
      <c r="B56" s="6" t="s">
        <v>45</v>
      </c>
      <c r="C56" s="7">
        <f>106.4-31.5</f>
        <v>74.900000000000006</v>
      </c>
      <c r="D56" s="7">
        <f>105.37+31.5</f>
        <v>136.87</v>
      </c>
      <c r="E56" s="7">
        <v>0</v>
      </c>
      <c r="F56" s="7">
        <v>0</v>
      </c>
    </row>
    <row r="57" spans="1:6">
      <c r="A57" s="21">
        <v>51</v>
      </c>
      <c r="B57" s="6" t="s">
        <v>46</v>
      </c>
      <c r="C57" s="7">
        <v>65</v>
      </c>
      <c r="D57" s="7">
        <v>196.5</v>
      </c>
      <c r="E57" s="7">
        <v>0</v>
      </c>
      <c r="F57" s="7">
        <v>0</v>
      </c>
    </row>
    <row r="58" spans="1:6">
      <c r="A58" s="21">
        <v>52</v>
      </c>
      <c r="B58" s="6" t="s">
        <v>47</v>
      </c>
      <c r="C58" s="7">
        <v>31.5</v>
      </c>
      <c r="D58" s="7">
        <v>167.59</v>
      </c>
      <c r="E58" s="7">
        <v>0</v>
      </c>
      <c r="F58" s="7">
        <v>0</v>
      </c>
    </row>
    <row r="59" spans="1:6">
      <c r="A59" s="21">
        <v>53</v>
      </c>
      <c r="B59" s="6" t="s">
        <v>48</v>
      </c>
      <c r="C59" s="7">
        <v>96.73</v>
      </c>
      <c r="D59" s="7">
        <v>163.1</v>
      </c>
      <c r="E59" s="7">
        <v>0</v>
      </c>
      <c r="F59" s="7">
        <v>0</v>
      </c>
    </row>
    <row r="60" spans="1:6">
      <c r="A60" s="21">
        <v>54</v>
      </c>
      <c r="B60" s="6" t="s">
        <v>49</v>
      </c>
      <c r="C60" s="7">
        <v>169</v>
      </c>
      <c r="D60" s="7">
        <v>31.5</v>
      </c>
      <c r="E60" s="7">
        <v>0</v>
      </c>
      <c r="F60" s="7">
        <v>0</v>
      </c>
    </row>
    <row r="61" spans="1:6">
      <c r="A61" s="21">
        <v>55</v>
      </c>
      <c r="B61" s="6" t="s">
        <v>50</v>
      </c>
      <c r="C61" s="7">
        <f>163.2-33.6</f>
        <v>129.6</v>
      </c>
      <c r="D61" s="7">
        <f>95.6+33.6</f>
        <v>129.19999999999999</v>
      </c>
      <c r="E61" s="7">
        <v>0</v>
      </c>
      <c r="F61" s="7">
        <v>0</v>
      </c>
    </row>
    <row r="62" spans="1:6">
      <c r="A62" s="21">
        <v>56</v>
      </c>
      <c r="B62" s="6" t="s">
        <v>51</v>
      </c>
      <c r="C62" s="7">
        <v>193.35</v>
      </c>
      <c r="D62" s="7">
        <v>67</v>
      </c>
      <c r="E62" s="7">
        <v>0</v>
      </c>
      <c r="F62" s="7">
        <v>0</v>
      </c>
    </row>
    <row r="63" spans="1:6">
      <c r="A63" s="21">
        <v>57</v>
      </c>
      <c r="B63" s="6" t="s">
        <v>52</v>
      </c>
      <c r="C63" s="7">
        <v>251.6</v>
      </c>
      <c r="D63" s="7">
        <v>62.67</v>
      </c>
      <c r="E63" s="7">
        <v>0</v>
      </c>
      <c r="F63" s="7">
        <v>0</v>
      </c>
    </row>
    <row r="64" spans="1:6">
      <c r="A64" s="21">
        <v>58</v>
      </c>
      <c r="B64" s="6" t="s">
        <v>53</v>
      </c>
      <c r="C64" s="7">
        <f>137.26-31.5</f>
        <v>105.75999999999999</v>
      </c>
      <c r="D64" s="7">
        <f>74.26+31.5</f>
        <v>105.76</v>
      </c>
      <c r="E64" s="7">
        <v>0</v>
      </c>
      <c r="F64" s="7">
        <v>0</v>
      </c>
    </row>
    <row r="65" spans="1:6">
      <c r="A65" s="21">
        <v>59</v>
      </c>
      <c r="B65" s="6" t="s">
        <v>54</v>
      </c>
      <c r="C65" s="7">
        <f>196.6-38.6</f>
        <v>158</v>
      </c>
      <c r="D65" s="7">
        <f>119.78+38.6</f>
        <v>158.38</v>
      </c>
      <c r="E65" s="7">
        <v>0</v>
      </c>
      <c r="F65" s="7">
        <v>0</v>
      </c>
    </row>
    <row r="66" spans="1:6">
      <c r="A66" s="21">
        <v>60</v>
      </c>
      <c r="B66" s="11" t="s">
        <v>111</v>
      </c>
      <c r="C66" s="12">
        <v>236.99</v>
      </c>
      <c r="D66" s="12">
        <v>79.31</v>
      </c>
      <c r="E66" s="12">
        <v>0</v>
      </c>
      <c r="F66" s="12">
        <v>0</v>
      </c>
    </row>
    <row r="67" spans="1:6" s="52" customFormat="1">
      <c r="A67" s="21">
        <v>61</v>
      </c>
      <c r="B67" s="11" t="s">
        <v>102</v>
      </c>
      <c r="C67" s="12">
        <f>289.62-40.53-13</f>
        <v>236.09</v>
      </c>
      <c r="D67" s="12">
        <f>22+40.53+13</f>
        <v>75.53</v>
      </c>
      <c r="E67" s="12">
        <v>0</v>
      </c>
      <c r="F67" s="12">
        <v>0</v>
      </c>
    </row>
    <row r="68" spans="1:6">
      <c r="A68" s="21">
        <v>62</v>
      </c>
      <c r="B68" s="6" t="s">
        <v>55</v>
      </c>
      <c r="C68" s="7">
        <f>358.86-23.27-32.7</f>
        <v>302.89000000000004</v>
      </c>
      <c r="D68" s="7">
        <f>105.81+23.27+32.7</f>
        <v>161.78000000000003</v>
      </c>
      <c r="E68" s="7">
        <v>0</v>
      </c>
      <c r="F68" s="7">
        <v>0</v>
      </c>
    </row>
    <row r="69" spans="1:6" s="52" customFormat="1">
      <c r="A69" s="21">
        <v>63</v>
      </c>
      <c r="B69" s="53" t="s">
        <v>22</v>
      </c>
      <c r="C69" s="54">
        <v>0</v>
      </c>
      <c r="D69" s="54">
        <v>1394.3</v>
      </c>
      <c r="E69" s="54">
        <v>0</v>
      </c>
      <c r="F69" s="54">
        <v>338.04</v>
      </c>
    </row>
    <row r="70" spans="1:6">
      <c r="A70" s="21">
        <v>64</v>
      </c>
      <c r="B70" s="6" t="s">
        <v>32</v>
      </c>
      <c r="C70" s="7">
        <f>468.81-57.06-45.75</f>
        <v>366</v>
      </c>
      <c r="D70" s="7">
        <f>670.2+57.06+45.75</f>
        <v>773.01</v>
      </c>
      <c r="E70" s="7">
        <v>0</v>
      </c>
      <c r="F70" s="7">
        <v>0</v>
      </c>
    </row>
    <row r="71" spans="1:6">
      <c r="A71" s="21">
        <v>65</v>
      </c>
      <c r="B71" s="6" t="s">
        <v>33</v>
      </c>
      <c r="C71" s="7">
        <f>755.28-248.73-43.5-35.92-45.73-45.75-47.21</f>
        <v>288.43999999999994</v>
      </c>
      <c r="D71" s="7">
        <f>374.51+248.73+43.5+35.92+45.73+45.75+47.21</f>
        <v>841.35</v>
      </c>
      <c r="E71" s="7">
        <v>0</v>
      </c>
      <c r="F71" s="7">
        <v>0</v>
      </c>
    </row>
    <row r="72" spans="1:6">
      <c r="A72" s="21">
        <v>66</v>
      </c>
      <c r="B72" s="6" t="s">
        <v>34</v>
      </c>
      <c r="C72" s="7">
        <f>371.41-49.53-54.4</f>
        <v>267.48</v>
      </c>
      <c r="D72" s="7">
        <f>483.2+49.53+54.4</f>
        <v>587.13</v>
      </c>
      <c r="E72" s="7">
        <v>0</v>
      </c>
      <c r="F72" s="7">
        <v>0</v>
      </c>
    </row>
    <row r="73" spans="1:6">
      <c r="A73" s="21">
        <v>67</v>
      </c>
      <c r="B73" s="6" t="s">
        <v>35</v>
      </c>
      <c r="C73" s="7">
        <f>415.43-207-47-34-47</f>
        <v>80.430000000000007</v>
      </c>
      <c r="D73" s="7">
        <f>441.53+207+47+34+47</f>
        <v>776.53</v>
      </c>
      <c r="E73" s="7">
        <v>0</v>
      </c>
      <c r="F73" s="7">
        <v>0</v>
      </c>
    </row>
    <row r="74" spans="1:6">
      <c r="A74" s="21">
        <v>68</v>
      </c>
      <c r="B74" s="6" t="s">
        <v>36</v>
      </c>
      <c r="C74" s="7">
        <f>406.39-217.85-46</f>
        <v>142.54</v>
      </c>
      <c r="D74" s="7">
        <f>439.01+217.85+46</f>
        <v>702.86</v>
      </c>
      <c r="E74" s="7">
        <v>0</v>
      </c>
      <c r="F74" s="7">
        <v>0</v>
      </c>
    </row>
    <row r="75" spans="1:6">
      <c r="A75" s="21">
        <v>69</v>
      </c>
      <c r="B75" s="6" t="s">
        <v>37</v>
      </c>
      <c r="C75" s="7">
        <f>527.38-49.05</f>
        <v>478.33</v>
      </c>
      <c r="D75" s="7">
        <f>742.45+49.05</f>
        <v>791.5</v>
      </c>
      <c r="E75" s="7">
        <v>0</v>
      </c>
      <c r="F75" s="7">
        <v>0</v>
      </c>
    </row>
    <row r="76" spans="1:6">
      <c r="A76" s="21">
        <v>70</v>
      </c>
      <c r="B76" s="6" t="s">
        <v>38</v>
      </c>
      <c r="C76" s="7">
        <f>433.62-38.57-55.15-37.25</f>
        <v>302.65000000000003</v>
      </c>
      <c r="D76" s="7">
        <f>424.01+38.57+55.15+37.25</f>
        <v>554.98</v>
      </c>
      <c r="E76" s="7">
        <v>0</v>
      </c>
      <c r="F76" s="7">
        <v>0</v>
      </c>
    </row>
    <row r="77" spans="1:6">
      <c r="A77" s="21">
        <v>71</v>
      </c>
      <c r="B77" s="6" t="s">
        <v>39</v>
      </c>
      <c r="C77" s="7">
        <f>782.29-44.4-58-54.8-35</f>
        <v>590.09</v>
      </c>
      <c r="D77" s="7">
        <f>815.11+44.4+58+54.8+35</f>
        <v>1007.31</v>
      </c>
      <c r="E77" s="7">
        <v>0</v>
      </c>
      <c r="F77" s="7">
        <v>0</v>
      </c>
    </row>
    <row r="78" spans="1:6">
      <c r="A78" s="21">
        <v>72</v>
      </c>
      <c r="B78" s="6" t="s">
        <v>40</v>
      </c>
      <c r="C78" s="7">
        <f>431.98-35.28-48.14-50.26</f>
        <v>298.30000000000007</v>
      </c>
      <c r="D78" s="7">
        <f>760.22+35.28+48.14+50.26</f>
        <v>893.9</v>
      </c>
      <c r="E78" s="7">
        <v>0</v>
      </c>
      <c r="F78" s="7">
        <v>0</v>
      </c>
    </row>
    <row r="79" spans="1:6">
      <c r="A79" s="21">
        <v>73</v>
      </c>
      <c r="B79" s="6" t="s">
        <v>18</v>
      </c>
      <c r="C79" s="7">
        <f>679.97-47.12-34.12-50.45</f>
        <v>548.28</v>
      </c>
      <c r="D79" s="7">
        <f>616.69+47.12+34.12+50.45</f>
        <v>748.38000000000011</v>
      </c>
      <c r="E79" s="7">
        <v>260.41000000000003</v>
      </c>
      <c r="F79" s="7">
        <v>35.700000000000003</v>
      </c>
    </row>
    <row r="80" spans="1:6">
      <c r="A80" s="21">
        <v>74</v>
      </c>
      <c r="B80" s="6" t="s">
        <v>65</v>
      </c>
      <c r="C80" s="7">
        <v>325.05</v>
      </c>
      <c r="D80" s="7">
        <v>21</v>
      </c>
      <c r="E80" s="7">
        <v>0</v>
      </c>
      <c r="F80" s="7">
        <v>0</v>
      </c>
    </row>
    <row r="81" spans="1:6">
      <c r="A81" s="21">
        <v>75</v>
      </c>
      <c r="B81" s="11" t="s">
        <v>114</v>
      </c>
      <c r="C81" s="7">
        <v>315.11</v>
      </c>
      <c r="D81" s="7">
        <v>21.09</v>
      </c>
      <c r="E81" s="7">
        <v>0</v>
      </c>
      <c r="F81" s="7">
        <v>0</v>
      </c>
    </row>
    <row r="82" spans="1:6">
      <c r="A82" s="21">
        <v>76</v>
      </c>
      <c r="B82" s="6" t="s">
        <v>41</v>
      </c>
      <c r="C82" s="7">
        <f>1222.13-530.27</f>
        <v>691.86000000000013</v>
      </c>
      <c r="D82" s="7">
        <f>133.47+530.27</f>
        <v>663.74</v>
      </c>
      <c r="E82" s="7">
        <v>0</v>
      </c>
      <c r="F82" s="7">
        <v>0</v>
      </c>
    </row>
    <row r="83" spans="1:6">
      <c r="A83" s="21">
        <v>77</v>
      </c>
      <c r="B83" s="6" t="s">
        <v>19</v>
      </c>
      <c r="C83" s="7">
        <f>550.48-50.73-48.79-32.97</f>
        <v>417.99</v>
      </c>
      <c r="D83" s="7">
        <f>290.37+50.73+48.79+32.97</f>
        <v>422.86</v>
      </c>
      <c r="E83" s="7">
        <v>74.209999999999994</v>
      </c>
      <c r="F83" s="7">
        <v>244.04</v>
      </c>
    </row>
    <row r="84" spans="1:6">
      <c r="A84" s="21">
        <v>78</v>
      </c>
      <c r="B84" s="53" t="s">
        <v>20</v>
      </c>
      <c r="C84" s="54">
        <f>122.9-122.9</f>
        <v>0</v>
      </c>
      <c r="D84" s="54">
        <f>680.6+122.9</f>
        <v>803.5</v>
      </c>
      <c r="E84" s="54">
        <v>0</v>
      </c>
      <c r="F84" s="54">
        <v>0</v>
      </c>
    </row>
    <row r="85" spans="1:6">
      <c r="A85" s="21">
        <v>79</v>
      </c>
      <c r="B85" s="6" t="s">
        <v>87</v>
      </c>
      <c r="C85" s="7">
        <f>213.25-24.7-34.3</f>
        <v>154.25</v>
      </c>
      <c r="D85" s="7">
        <f>156.42+24.7+34.3</f>
        <v>215.41999999999996</v>
      </c>
      <c r="E85" s="7">
        <v>0</v>
      </c>
      <c r="F85" s="7">
        <v>0</v>
      </c>
    </row>
    <row r="86" spans="1:6">
      <c r="A86" s="21">
        <v>80</v>
      </c>
      <c r="B86" s="6" t="s">
        <v>16</v>
      </c>
      <c r="C86" s="7">
        <v>252.69</v>
      </c>
      <c r="D86" s="7">
        <v>46</v>
      </c>
      <c r="E86" s="7">
        <v>0</v>
      </c>
      <c r="F86" s="7">
        <v>19.7</v>
      </c>
    </row>
    <row r="87" spans="1:6">
      <c r="A87" s="21">
        <v>81</v>
      </c>
      <c r="B87" s="6" t="s">
        <v>88</v>
      </c>
      <c r="C87" s="7">
        <f>271.77+8.25+8.25-43+3.55</f>
        <v>248.82</v>
      </c>
      <c r="D87" s="7">
        <f>124.9+43</f>
        <v>167.9</v>
      </c>
      <c r="E87" s="7">
        <v>0</v>
      </c>
      <c r="F87" s="7">
        <v>0</v>
      </c>
    </row>
    <row r="88" spans="1:6">
      <c r="A88" s="21">
        <v>82</v>
      </c>
      <c r="B88" s="6" t="s">
        <v>89</v>
      </c>
      <c r="C88" s="7">
        <f>201.55-22.3-39.58-23.22</f>
        <v>116.45000000000002</v>
      </c>
      <c r="D88" s="7">
        <f>92.3+22.3+39.58+23.22</f>
        <v>177.4</v>
      </c>
      <c r="E88" s="7">
        <v>0</v>
      </c>
      <c r="F88" s="7">
        <v>0</v>
      </c>
    </row>
    <row r="89" spans="1:6">
      <c r="A89" s="21">
        <v>83</v>
      </c>
      <c r="B89" s="6" t="s">
        <v>90</v>
      </c>
      <c r="C89" s="7">
        <v>213.55</v>
      </c>
      <c r="D89" s="7">
        <v>181.5</v>
      </c>
      <c r="E89" s="7">
        <v>0</v>
      </c>
      <c r="F89" s="7">
        <v>0</v>
      </c>
    </row>
    <row r="90" spans="1:6">
      <c r="A90" s="21">
        <v>84</v>
      </c>
      <c r="B90" s="6" t="s">
        <v>91</v>
      </c>
      <c r="C90" s="7">
        <v>296.02</v>
      </c>
      <c r="D90" s="7">
        <v>96.17</v>
      </c>
      <c r="E90" s="7">
        <v>0</v>
      </c>
      <c r="F90" s="7">
        <v>0</v>
      </c>
    </row>
    <row r="91" spans="1:6">
      <c r="A91" s="21">
        <v>85</v>
      </c>
      <c r="B91" s="6" t="s">
        <v>28</v>
      </c>
      <c r="C91" s="7">
        <f>391.03-34.67-46-34.67</f>
        <v>275.68999999999994</v>
      </c>
      <c r="D91" s="7">
        <f>256.4+34.67+46+34.67</f>
        <v>371.74</v>
      </c>
      <c r="E91" s="7">
        <v>0</v>
      </c>
      <c r="F91" s="7">
        <v>0</v>
      </c>
    </row>
    <row r="92" spans="1:6">
      <c r="A92" s="21">
        <v>86</v>
      </c>
      <c r="B92" s="6" t="s">
        <v>29</v>
      </c>
      <c r="C92" s="7">
        <f>330.93-36.48</f>
        <v>294.45</v>
      </c>
      <c r="D92" s="7">
        <f>458.05+36.48</f>
        <v>494.53000000000003</v>
      </c>
      <c r="E92" s="7">
        <v>0</v>
      </c>
      <c r="F92" s="7">
        <v>0</v>
      </c>
    </row>
    <row r="93" spans="1:6">
      <c r="A93" s="21">
        <v>87</v>
      </c>
      <c r="B93" s="6" t="s">
        <v>30</v>
      </c>
      <c r="C93" s="7">
        <f>249.6-36.96-50.47-35.65-45.33</f>
        <v>81.189999999999984</v>
      </c>
      <c r="D93" s="7">
        <f>418.58+36.96+50.47+35.65+45.33</f>
        <v>586.99</v>
      </c>
      <c r="E93" s="7">
        <v>121.7</v>
      </c>
      <c r="F93" s="7">
        <v>0</v>
      </c>
    </row>
    <row r="94" spans="1:6" s="52" customFormat="1">
      <c r="A94" s="21">
        <v>88</v>
      </c>
      <c r="B94" s="53" t="s">
        <v>24</v>
      </c>
      <c r="C94" s="54">
        <v>0</v>
      </c>
      <c r="D94" s="54">
        <f>1144.14-0.73</f>
        <v>1143.4100000000001</v>
      </c>
      <c r="E94" s="54">
        <v>0</v>
      </c>
      <c r="F94" s="54">
        <v>0</v>
      </c>
    </row>
    <row r="95" spans="1:6">
      <c r="A95" s="21">
        <v>89</v>
      </c>
      <c r="B95" s="6" t="s">
        <v>23</v>
      </c>
      <c r="C95" s="7">
        <v>270.5</v>
      </c>
      <c r="D95" s="7">
        <v>878.55</v>
      </c>
      <c r="E95" s="7">
        <v>0</v>
      </c>
      <c r="F95" s="7">
        <v>0</v>
      </c>
    </row>
    <row r="96" spans="1:6">
      <c r="A96" s="21">
        <v>90</v>
      </c>
      <c r="B96" s="6" t="s">
        <v>96</v>
      </c>
      <c r="C96" s="7">
        <f>370.75-21.5-14</f>
        <v>335.25</v>
      </c>
      <c r="D96" s="7">
        <f>126.37+21.5+14</f>
        <v>161.87</v>
      </c>
      <c r="E96" s="7">
        <v>59.36</v>
      </c>
      <c r="F96" s="7">
        <v>0</v>
      </c>
    </row>
    <row r="97" spans="1:6" s="52" customFormat="1">
      <c r="A97" s="21">
        <v>91</v>
      </c>
      <c r="B97" s="11" t="s">
        <v>103</v>
      </c>
      <c r="C97" s="12">
        <f>297.44-112.35-46.26</f>
        <v>138.83000000000001</v>
      </c>
      <c r="D97" s="12">
        <f>64.29+112.35+46.26</f>
        <v>222.89999999999998</v>
      </c>
      <c r="E97" s="12">
        <v>180.17</v>
      </c>
      <c r="F97" s="12">
        <v>0</v>
      </c>
    </row>
    <row r="98" spans="1:6">
      <c r="A98" s="21">
        <v>92</v>
      </c>
      <c r="B98" s="6" t="s">
        <v>84</v>
      </c>
      <c r="C98" s="7">
        <f>248.64-21.39-23.96</f>
        <v>203.29</v>
      </c>
      <c r="D98" s="7">
        <f>36.28+21.39+23.96</f>
        <v>81.63</v>
      </c>
      <c r="E98" s="7">
        <v>0</v>
      </c>
      <c r="F98" s="7">
        <v>0</v>
      </c>
    </row>
    <row r="99" spans="1:6">
      <c r="A99" s="21">
        <v>93</v>
      </c>
      <c r="B99" s="6" t="s">
        <v>80</v>
      </c>
      <c r="C99" s="7">
        <v>113.44</v>
      </c>
      <c r="D99" s="7">
        <v>192.38</v>
      </c>
      <c r="E99" s="7">
        <v>0</v>
      </c>
      <c r="F99" s="7">
        <v>0</v>
      </c>
    </row>
    <row r="100" spans="1:6">
      <c r="A100" s="21">
        <v>94</v>
      </c>
      <c r="B100" s="6" t="s">
        <v>86</v>
      </c>
      <c r="C100" s="7">
        <f>143.6-38.38</f>
        <v>105.22</v>
      </c>
      <c r="D100" s="7">
        <f>206.28+38.38</f>
        <v>244.66</v>
      </c>
      <c r="E100" s="7">
        <v>0</v>
      </c>
      <c r="F100" s="7">
        <v>0</v>
      </c>
    </row>
    <row r="101" spans="1:6">
      <c r="A101" s="21">
        <v>95</v>
      </c>
      <c r="B101" s="6" t="s">
        <v>81</v>
      </c>
      <c r="C101" s="7">
        <f>332.96-15.18</f>
        <v>317.77999999999997</v>
      </c>
      <c r="D101" s="7">
        <f>132.62+15.18</f>
        <v>147.80000000000001</v>
      </c>
      <c r="E101" s="7">
        <v>0</v>
      </c>
      <c r="F101" s="7">
        <v>0</v>
      </c>
    </row>
    <row r="102" spans="1:6">
      <c r="A102" s="21">
        <v>96</v>
      </c>
      <c r="B102" s="6" t="s">
        <v>82</v>
      </c>
      <c r="C102" s="7">
        <v>215.51</v>
      </c>
      <c r="D102" s="7">
        <v>89.87</v>
      </c>
      <c r="E102" s="7">
        <v>0</v>
      </c>
      <c r="F102" s="7">
        <v>0</v>
      </c>
    </row>
    <row r="103" spans="1:6">
      <c r="A103" s="21">
        <v>97</v>
      </c>
      <c r="B103" s="6" t="s">
        <v>83</v>
      </c>
      <c r="C103" s="7">
        <f>279.64-39.01-15.18</f>
        <v>225.45</v>
      </c>
      <c r="D103" s="7">
        <f>186.63+39.01+15.18</f>
        <v>240.82</v>
      </c>
      <c r="E103" s="7">
        <v>0</v>
      </c>
      <c r="F103" s="7">
        <v>0</v>
      </c>
    </row>
    <row r="104" spans="1:6">
      <c r="A104" s="21">
        <v>98</v>
      </c>
      <c r="B104" s="6" t="s">
        <v>85</v>
      </c>
      <c r="C104" s="7">
        <v>223.47</v>
      </c>
      <c r="D104" s="7">
        <v>178</v>
      </c>
      <c r="E104" s="7">
        <v>0</v>
      </c>
      <c r="F104" s="7">
        <v>0</v>
      </c>
    </row>
    <row r="105" spans="1:6">
      <c r="A105" s="21">
        <v>99</v>
      </c>
      <c r="B105" s="6" t="s">
        <v>25</v>
      </c>
      <c r="C105" s="7">
        <f>605.3-227.5-28.6</f>
        <v>349.19999999999993</v>
      </c>
      <c r="D105" s="7">
        <f>581.1+227.5+28.6</f>
        <v>837.2</v>
      </c>
      <c r="E105" s="7">
        <v>0</v>
      </c>
      <c r="F105" s="7">
        <v>0</v>
      </c>
    </row>
    <row r="106" spans="1:6" s="52" customFormat="1">
      <c r="A106" s="21">
        <v>100</v>
      </c>
      <c r="B106" s="53" t="s">
        <v>26</v>
      </c>
      <c r="C106" s="54">
        <f>453-280.2-172.8</f>
        <v>0</v>
      </c>
      <c r="D106" s="54">
        <f>766.4+280.2+172.8</f>
        <v>1219.3999999999999</v>
      </c>
      <c r="E106" s="54">
        <v>0</v>
      </c>
      <c r="F106" s="54">
        <v>0</v>
      </c>
    </row>
    <row r="107" spans="1:6">
      <c r="A107" s="21">
        <v>101</v>
      </c>
      <c r="B107" s="6" t="s">
        <v>27</v>
      </c>
      <c r="C107" s="7">
        <f>221.05-47.7-38.25</f>
        <v>135.10000000000002</v>
      </c>
      <c r="D107" s="7">
        <f>995.4+47.7+38.25</f>
        <v>1081.3499999999999</v>
      </c>
      <c r="E107" s="7">
        <v>0</v>
      </c>
      <c r="F107" s="7">
        <v>0</v>
      </c>
    </row>
    <row r="108" spans="1:6">
      <c r="A108" s="21">
        <v>102</v>
      </c>
      <c r="B108" s="6" t="s">
        <v>14</v>
      </c>
      <c r="C108" s="7">
        <f>101.18-17</f>
        <v>84.18</v>
      </c>
      <c r="D108" s="7">
        <f>42.5+17</f>
        <v>59.5</v>
      </c>
      <c r="E108" s="7">
        <v>0</v>
      </c>
      <c r="F108" s="7">
        <v>0</v>
      </c>
    </row>
    <row r="109" spans="1:6">
      <c r="A109" s="21">
        <v>103</v>
      </c>
      <c r="B109" s="6" t="s">
        <v>97</v>
      </c>
      <c r="C109" s="7">
        <v>118.82</v>
      </c>
      <c r="D109" s="7">
        <v>112.96</v>
      </c>
      <c r="E109" s="7">
        <v>0</v>
      </c>
      <c r="F109" s="7">
        <v>0</v>
      </c>
    </row>
    <row r="110" spans="1:6">
      <c r="A110" s="21">
        <v>104</v>
      </c>
      <c r="B110" s="6" t="s">
        <v>98</v>
      </c>
      <c r="C110" s="7">
        <f>366.88-24-16.9</f>
        <v>325.98</v>
      </c>
      <c r="D110" s="7">
        <f>121.55+24+16.9</f>
        <v>162.45000000000002</v>
      </c>
      <c r="E110" s="7">
        <v>0</v>
      </c>
      <c r="F110" s="7">
        <v>0</v>
      </c>
    </row>
    <row r="111" spans="1:6">
      <c r="A111" s="21">
        <v>105</v>
      </c>
      <c r="B111" s="6" t="s">
        <v>99</v>
      </c>
      <c r="C111" s="7">
        <f>120.65+5.07-57.49</f>
        <v>68.22999999999999</v>
      </c>
      <c r="D111" s="7">
        <f>140.28+57.49</f>
        <v>197.77</v>
      </c>
      <c r="E111" s="7">
        <v>0</v>
      </c>
      <c r="F111" s="7">
        <v>0</v>
      </c>
    </row>
    <row r="112" spans="1:6">
      <c r="A112" s="21">
        <v>106</v>
      </c>
      <c r="B112" s="6" t="s">
        <v>5</v>
      </c>
      <c r="C112" s="7">
        <f>1107.79-212.46-37.01-37.01-111.03</f>
        <v>710.28</v>
      </c>
      <c r="D112" s="7">
        <f>1078.06+212.46+37.01+37.01+111.03</f>
        <v>1475.57</v>
      </c>
      <c r="E112" s="7">
        <v>0</v>
      </c>
      <c r="F112" s="7">
        <v>0</v>
      </c>
    </row>
    <row r="113" spans="1:6">
      <c r="A113" s="21">
        <v>107</v>
      </c>
      <c r="B113" s="6" t="s">
        <v>21</v>
      </c>
      <c r="C113" s="7">
        <f>739.55-224.2</f>
        <v>515.34999999999991</v>
      </c>
      <c r="D113" s="7">
        <f>432.85+224.2</f>
        <v>657.05</v>
      </c>
      <c r="E113" s="7">
        <v>0</v>
      </c>
      <c r="F113" s="7">
        <v>0</v>
      </c>
    </row>
    <row r="114" spans="1:6">
      <c r="A114" s="21">
        <v>108</v>
      </c>
      <c r="B114" s="6" t="s">
        <v>127</v>
      </c>
      <c r="C114" s="7">
        <f>704.99-32.75</f>
        <v>672.24</v>
      </c>
      <c r="D114" s="7">
        <f>477.24+32.75-0.05-0.42</f>
        <v>509.52</v>
      </c>
      <c r="E114" s="7">
        <v>0</v>
      </c>
      <c r="F114" s="7">
        <v>0</v>
      </c>
    </row>
    <row r="115" spans="1:6">
      <c r="A115" s="21">
        <v>109</v>
      </c>
      <c r="B115" s="6" t="s">
        <v>128</v>
      </c>
      <c r="C115" s="7">
        <f>386.33-50.53-36.3-47.37</f>
        <v>252.12999999999994</v>
      </c>
      <c r="D115" s="7">
        <f>796.52+50.53+36.3+47.37</f>
        <v>930.71999999999991</v>
      </c>
      <c r="E115" s="7">
        <v>0</v>
      </c>
      <c r="F115" s="7">
        <v>0</v>
      </c>
    </row>
    <row r="116" spans="1:6">
      <c r="A116" s="21">
        <v>110</v>
      </c>
      <c r="B116" s="11" t="s">
        <v>112</v>
      </c>
      <c r="C116" s="7">
        <v>135.44</v>
      </c>
      <c r="D116" s="7">
        <v>49.35</v>
      </c>
      <c r="E116" s="7">
        <v>0</v>
      </c>
      <c r="F116" s="7">
        <v>0</v>
      </c>
    </row>
    <row r="117" spans="1:6">
      <c r="A117" s="21">
        <v>111</v>
      </c>
      <c r="B117" s="6" t="s">
        <v>56</v>
      </c>
      <c r="C117" s="7">
        <f>344.95-42-24.22-22.89</f>
        <v>255.84000000000003</v>
      </c>
      <c r="D117" s="7">
        <f>134.25+42+24.22+22.89</f>
        <v>223.36</v>
      </c>
      <c r="E117" s="7">
        <v>0</v>
      </c>
      <c r="F117" s="7">
        <v>0</v>
      </c>
    </row>
    <row r="118" spans="1:6">
      <c r="A118" s="21">
        <v>112</v>
      </c>
      <c r="B118" s="6" t="s">
        <v>3</v>
      </c>
      <c r="C118" s="7">
        <f>894.43-36.39-45.26-45.26-44.91</f>
        <v>722.61</v>
      </c>
      <c r="D118" s="7">
        <f>1003.61+36.39+45.26+45.26+44.91</f>
        <v>1175.43</v>
      </c>
      <c r="E118" s="7">
        <v>0</v>
      </c>
      <c r="F118" s="7">
        <v>0</v>
      </c>
    </row>
    <row r="119" spans="1:6">
      <c r="A119" s="21">
        <v>113</v>
      </c>
      <c r="B119" s="6" t="s">
        <v>4</v>
      </c>
      <c r="C119" s="7">
        <v>668.49</v>
      </c>
      <c r="D119" s="7">
        <v>1227.58</v>
      </c>
      <c r="E119" s="7">
        <v>0</v>
      </c>
      <c r="F119" s="7">
        <v>0</v>
      </c>
    </row>
    <row r="120" spans="1:6">
      <c r="A120" s="21">
        <v>114</v>
      </c>
      <c r="B120" s="6" t="s">
        <v>109</v>
      </c>
      <c r="C120" s="7">
        <f>172.55-34.79</f>
        <v>137.76000000000002</v>
      </c>
      <c r="D120" s="7">
        <f>238.21+34.79</f>
        <v>273</v>
      </c>
      <c r="E120" s="7">
        <v>0</v>
      </c>
      <c r="F120" s="7">
        <v>0</v>
      </c>
    </row>
    <row r="121" spans="1:6">
      <c r="A121" s="21">
        <v>115</v>
      </c>
      <c r="B121" s="13" t="s">
        <v>117</v>
      </c>
      <c r="C121" s="7">
        <f>269.02-23-16.4-22.8</f>
        <v>206.81999999999996</v>
      </c>
      <c r="D121" s="7">
        <f>47.1+23+16.4+22.8</f>
        <v>109.3</v>
      </c>
      <c r="E121" s="7">
        <v>0</v>
      </c>
      <c r="F121" s="7">
        <v>0</v>
      </c>
    </row>
    <row r="122" spans="1:6">
      <c r="A122" s="21">
        <v>116</v>
      </c>
      <c r="B122" s="6" t="s">
        <v>11</v>
      </c>
      <c r="C122" s="7">
        <f>518.84-44.29</f>
        <v>474.55</v>
      </c>
      <c r="D122" s="7">
        <f>1125.77+44.29</f>
        <v>1170.06</v>
      </c>
      <c r="E122" s="7">
        <v>0</v>
      </c>
      <c r="F122" s="7">
        <v>0</v>
      </c>
    </row>
    <row r="123" spans="1:6">
      <c r="A123" s="21">
        <v>117</v>
      </c>
      <c r="B123" s="6" t="s">
        <v>12</v>
      </c>
      <c r="C123" s="7">
        <f>263.49-231.49</f>
        <v>32</v>
      </c>
      <c r="D123" s="7">
        <f>1186+231.49</f>
        <v>1417.49</v>
      </c>
      <c r="E123" s="7">
        <v>0</v>
      </c>
      <c r="F123" s="7">
        <v>0</v>
      </c>
    </row>
    <row r="124" spans="1:6">
      <c r="A124" s="21">
        <v>118</v>
      </c>
      <c r="B124" s="6" t="s">
        <v>95</v>
      </c>
      <c r="C124" s="7">
        <v>217.09</v>
      </c>
      <c r="D124" s="7">
        <v>169.4</v>
      </c>
      <c r="E124" s="7">
        <v>0</v>
      </c>
      <c r="F124" s="7">
        <v>0</v>
      </c>
    </row>
    <row r="125" spans="1:6">
      <c r="A125" s="21">
        <v>119</v>
      </c>
      <c r="B125" s="6" t="s">
        <v>92</v>
      </c>
      <c r="C125" s="7">
        <v>164.67</v>
      </c>
      <c r="D125" s="7">
        <v>102.97</v>
      </c>
      <c r="E125" s="7">
        <v>0</v>
      </c>
      <c r="F125" s="7">
        <v>0</v>
      </c>
    </row>
    <row r="126" spans="1:6">
      <c r="A126" s="21">
        <v>120</v>
      </c>
      <c r="B126" s="6" t="s">
        <v>108</v>
      </c>
      <c r="C126" s="7">
        <v>74.540000000000006</v>
      </c>
      <c r="D126" s="7">
        <v>75.67</v>
      </c>
      <c r="E126" s="7">
        <v>0</v>
      </c>
      <c r="F126" s="7">
        <v>0</v>
      </c>
    </row>
    <row r="127" spans="1:6">
      <c r="A127" s="21">
        <v>121</v>
      </c>
      <c r="B127" s="6" t="s">
        <v>93</v>
      </c>
      <c r="C127" s="7">
        <v>183.25</v>
      </c>
      <c r="D127" s="7">
        <v>115.6</v>
      </c>
      <c r="E127" s="7">
        <v>0</v>
      </c>
      <c r="F127" s="7">
        <v>0</v>
      </c>
    </row>
    <row r="128" spans="1:6" ht="13.5" thickBot="1">
      <c r="A128" s="21">
        <v>122</v>
      </c>
      <c r="B128" s="30" t="s">
        <v>94</v>
      </c>
      <c r="C128" s="31">
        <v>164.37</v>
      </c>
      <c r="D128" s="31">
        <v>116</v>
      </c>
      <c r="E128" s="31">
        <v>0</v>
      </c>
      <c r="F128" s="31">
        <v>0</v>
      </c>
    </row>
    <row r="129" spans="1:6" ht="13.5" thickBot="1">
      <c r="A129" s="82" t="s">
        <v>115</v>
      </c>
      <c r="B129" s="83"/>
      <c r="C129" s="65">
        <f>SUM(C7:C128)</f>
        <v>29731.629999999994</v>
      </c>
      <c r="D129" s="65">
        <f>SUM(D7:D128)</f>
        <v>46194.03</v>
      </c>
      <c r="E129" s="65">
        <f>SUM(E7:E128)</f>
        <v>1138.6100000000001</v>
      </c>
      <c r="F129" s="65">
        <f>SUM(F7:F128)</f>
        <v>1345.5700000000002</v>
      </c>
    </row>
    <row r="130" spans="1:6">
      <c r="A130" s="15"/>
      <c r="B130" s="26"/>
      <c r="C130" s="35"/>
      <c r="D130" s="34"/>
      <c r="E130" s="35"/>
      <c r="F130" s="35"/>
    </row>
    <row r="131" spans="1:6">
      <c r="A131" s="15"/>
      <c r="B131" s="26"/>
      <c r="C131" s="35"/>
      <c r="D131" s="34"/>
      <c r="E131" s="35"/>
      <c r="F131" s="35"/>
    </row>
    <row r="132" spans="1:6" ht="13.5" thickBot="1">
      <c r="A132" s="84" t="s">
        <v>126</v>
      </c>
      <c r="B132" s="84"/>
      <c r="C132" s="84"/>
      <c r="D132" s="84"/>
      <c r="E132" s="84"/>
      <c r="F132" s="84"/>
    </row>
    <row r="133" spans="1:6" s="2" customFormat="1" ht="28.5" customHeight="1">
      <c r="A133" s="85" t="s">
        <v>121</v>
      </c>
      <c r="B133" s="87" t="s">
        <v>122</v>
      </c>
      <c r="C133" s="89" t="s">
        <v>123</v>
      </c>
      <c r="D133" s="90"/>
      <c r="E133" s="89" t="s">
        <v>124</v>
      </c>
      <c r="F133" s="90"/>
    </row>
    <row r="134" spans="1:6" s="4" customFormat="1" ht="24" customHeight="1" thickBot="1">
      <c r="A134" s="86"/>
      <c r="B134" s="88"/>
      <c r="C134" s="42" t="s">
        <v>0</v>
      </c>
      <c r="D134" s="42" t="s">
        <v>1</v>
      </c>
      <c r="E134" s="42" t="s">
        <v>0</v>
      </c>
      <c r="F134" s="42" t="s">
        <v>1</v>
      </c>
    </row>
    <row r="135" spans="1:6" s="38" customFormat="1" ht="12.75" customHeight="1">
      <c r="A135" s="39">
        <v>1</v>
      </c>
      <c r="B135" s="45" t="s">
        <v>60</v>
      </c>
      <c r="C135" s="40">
        <f>952.25-16.4</f>
        <v>935.85</v>
      </c>
      <c r="D135" s="40">
        <v>0</v>
      </c>
      <c r="E135" s="40">
        <v>0</v>
      </c>
      <c r="F135" s="40">
        <v>0</v>
      </c>
    </row>
    <row r="136" spans="1:6" s="38" customFormat="1" ht="12.75" customHeight="1">
      <c r="A136" s="44">
        <v>2</v>
      </c>
      <c r="B136" s="6" t="s">
        <v>131</v>
      </c>
      <c r="C136" s="7">
        <v>270.95</v>
      </c>
      <c r="D136" s="43">
        <v>0</v>
      </c>
      <c r="E136" s="43">
        <v>0</v>
      </c>
      <c r="F136" s="43">
        <v>0</v>
      </c>
    </row>
    <row r="137" spans="1:6">
      <c r="A137" s="21">
        <v>3</v>
      </c>
      <c r="B137" s="10" t="s">
        <v>164</v>
      </c>
      <c r="C137" s="7">
        <v>283.66000000000003</v>
      </c>
      <c r="D137" s="7">
        <v>0</v>
      </c>
      <c r="E137" s="7">
        <v>0</v>
      </c>
      <c r="F137" s="7">
        <v>0</v>
      </c>
    </row>
    <row r="138" spans="1:6">
      <c r="A138" s="21">
        <v>4</v>
      </c>
      <c r="B138" s="10" t="s">
        <v>135</v>
      </c>
      <c r="C138" s="7">
        <f>404.78-50.06-49.69</f>
        <v>305.02999999999997</v>
      </c>
      <c r="D138" s="7">
        <v>0</v>
      </c>
      <c r="E138" s="7">
        <v>0</v>
      </c>
      <c r="F138" s="7">
        <v>0</v>
      </c>
    </row>
    <row r="139" spans="1:6">
      <c r="A139" s="44">
        <v>5</v>
      </c>
      <c r="B139" s="10" t="s">
        <v>136</v>
      </c>
      <c r="C139" s="7">
        <f>427.21-427.21</f>
        <v>0</v>
      </c>
      <c r="D139" s="7">
        <v>0</v>
      </c>
      <c r="E139" s="7">
        <v>0</v>
      </c>
      <c r="F139" s="7">
        <v>0</v>
      </c>
    </row>
    <row r="140" spans="1:6">
      <c r="A140" s="44">
        <v>6</v>
      </c>
      <c r="B140" s="10" t="s">
        <v>137</v>
      </c>
      <c r="C140" s="7">
        <f>317.34-31.58-33.76-33.76</f>
        <v>218.24</v>
      </c>
      <c r="D140" s="7">
        <v>0</v>
      </c>
      <c r="E140" s="7">
        <v>0</v>
      </c>
      <c r="F140" s="7">
        <v>0</v>
      </c>
    </row>
    <row r="141" spans="1:6">
      <c r="A141" s="21">
        <v>7</v>
      </c>
      <c r="B141" s="10" t="s">
        <v>138</v>
      </c>
      <c r="C141" s="7">
        <f>128-38</f>
        <v>90</v>
      </c>
      <c r="D141" s="7">
        <v>0</v>
      </c>
      <c r="E141" s="7">
        <v>0</v>
      </c>
      <c r="F141" s="7">
        <v>0</v>
      </c>
    </row>
    <row r="142" spans="1:6">
      <c r="A142" s="21">
        <v>8</v>
      </c>
      <c r="B142" s="10" t="s">
        <v>139</v>
      </c>
      <c r="C142" s="7">
        <f>84.94-13.82-35.36-35.76</f>
        <v>0</v>
      </c>
      <c r="D142" s="7">
        <v>0</v>
      </c>
      <c r="E142" s="7">
        <v>0</v>
      </c>
      <c r="F142" s="7">
        <v>0</v>
      </c>
    </row>
    <row r="143" spans="1:6">
      <c r="A143" s="44">
        <v>9</v>
      </c>
      <c r="B143" s="10" t="s">
        <v>140</v>
      </c>
      <c r="C143" s="7">
        <v>134.47</v>
      </c>
      <c r="D143" s="7">
        <v>0</v>
      </c>
      <c r="E143" s="7">
        <v>0</v>
      </c>
      <c r="F143" s="7">
        <v>0</v>
      </c>
    </row>
    <row r="144" spans="1:6">
      <c r="A144" s="44">
        <v>10</v>
      </c>
      <c r="B144" s="6" t="s">
        <v>141</v>
      </c>
      <c r="C144" s="7">
        <v>282.36</v>
      </c>
      <c r="D144" s="7">
        <v>0</v>
      </c>
      <c r="E144" s="7">
        <v>0</v>
      </c>
      <c r="F144" s="7">
        <v>0</v>
      </c>
    </row>
    <row r="145" spans="1:6">
      <c r="A145" s="21">
        <v>11</v>
      </c>
      <c r="B145" s="6" t="s">
        <v>144</v>
      </c>
      <c r="C145" s="7">
        <v>266.22000000000003</v>
      </c>
      <c r="D145" s="7">
        <v>0</v>
      </c>
      <c r="E145" s="7">
        <v>0</v>
      </c>
      <c r="F145" s="7">
        <v>0</v>
      </c>
    </row>
    <row r="146" spans="1:6">
      <c r="A146" s="21">
        <v>12</v>
      </c>
      <c r="B146" s="10" t="s">
        <v>143</v>
      </c>
      <c r="C146" s="7">
        <f>740.6-45.7-45.7-33-53.3-53.3-53.3-43-45.7-43-43-248.6-33</f>
        <v>0</v>
      </c>
      <c r="D146" s="7">
        <v>0</v>
      </c>
      <c r="E146" s="7">
        <v>0</v>
      </c>
      <c r="F146" s="7">
        <v>0</v>
      </c>
    </row>
    <row r="147" spans="1:6">
      <c r="A147" s="44">
        <v>13</v>
      </c>
      <c r="B147" s="10" t="s">
        <v>181</v>
      </c>
      <c r="C147" s="7">
        <v>130.13</v>
      </c>
      <c r="D147" s="7">
        <v>0</v>
      </c>
      <c r="E147" s="7">
        <v>0</v>
      </c>
      <c r="F147" s="7">
        <v>0</v>
      </c>
    </row>
    <row r="148" spans="1:6">
      <c r="A148" s="44">
        <v>14</v>
      </c>
      <c r="B148" s="10" t="s">
        <v>169</v>
      </c>
      <c r="C148" s="7">
        <f>29.7-29.7</f>
        <v>0</v>
      </c>
      <c r="D148" s="7">
        <v>0</v>
      </c>
      <c r="E148" s="7">
        <v>0</v>
      </c>
      <c r="F148" s="7">
        <v>0</v>
      </c>
    </row>
    <row r="149" spans="1:6">
      <c r="A149" s="21">
        <v>15</v>
      </c>
      <c r="B149" s="10" t="s">
        <v>170</v>
      </c>
      <c r="C149" s="7">
        <v>29.7</v>
      </c>
      <c r="D149" s="7">
        <v>0</v>
      </c>
      <c r="E149" s="7">
        <v>0</v>
      </c>
      <c r="F149" s="7">
        <v>0</v>
      </c>
    </row>
    <row r="150" spans="1:6">
      <c r="A150" s="21">
        <v>16</v>
      </c>
      <c r="B150" s="10" t="s">
        <v>146</v>
      </c>
      <c r="C150" s="7">
        <f>199-17.2</f>
        <v>181.8</v>
      </c>
      <c r="D150" s="7">
        <v>0</v>
      </c>
      <c r="E150" s="7">
        <v>0</v>
      </c>
      <c r="F150" s="7">
        <v>0</v>
      </c>
    </row>
    <row r="151" spans="1:6">
      <c r="A151" s="44">
        <v>17</v>
      </c>
      <c r="B151" s="10" t="s">
        <v>145</v>
      </c>
      <c r="C151" s="7">
        <v>307.77</v>
      </c>
      <c r="D151" s="7">
        <v>0</v>
      </c>
      <c r="E151" s="7">
        <v>0</v>
      </c>
      <c r="F151" s="7">
        <v>0</v>
      </c>
    </row>
    <row r="152" spans="1:6">
      <c r="A152" s="44">
        <v>18</v>
      </c>
      <c r="B152" s="6" t="s">
        <v>147</v>
      </c>
      <c r="C152" s="7">
        <f>578.46-193.52-31.58-31.58-17.85-46.12-31.58</f>
        <v>226.23000000000008</v>
      </c>
      <c r="D152" s="7">
        <v>0</v>
      </c>
      <c r="E152" s="7">
        <v>0</v>
      </c>
      <c r="F152" s="7">
        <v>0</v>
      </c>
    </row>
    <row r="153" spans="1:6">
      <c r="A153" s="21">
        <v>19</v>
      </c>
      <c r="B153" s="10" t="s">
        <v>148</v>
      </c>
      <c r="C153" s="7">
        <v>231.2</v>
      </c>
      <c r="D153" s="7">
        <v>0</v>
      </c>
      <c r="E153" s="7">
        <v>0</v>
      </c>
      <c r="F153" s="7">
        <v>0</v>
      </c>
    </row>
    <row r="154" spans="1:6">
      <c r="A154" s="21">
        <v>20</v>
      </c>
      <c r="B154" s="10" t="s">
        <v>149</v>
      </c>
      <c r="C154" s="7">
        <f>296.91-37.46-27.6</f>
        <v>231.85000000000005</v>
      </c>
      <c r="D154" s="7">
        <v>0</v>
      </c>
      <c r="E154" s="7">
        <v>82.44</v>
      </c>
      <c r="F154" s="7">
        <v>0</v>
      </c>
    </row>
    <row r="155" spans="1:6">
      <c r="A155" s="44">
        <v>21</v>
      </c>
      <c r="B155" s="10" t="s">
        <v>150</v>
      </c>
      <c r="C155" s="7">
        <f>1823.44-23.9-34.3-351.91-13.28-18.02-31.5</f>
        <v>1350.53</v>
      </c>
      <c r="D155" s="7">
        <v>0</v>
      </c>
      <c r="E155" s="7">
        <f>55.69-43.29</f>
        <v>12.399999999999999</v>
      </c>
      <c r="F155" s="7">
        <v>0</v>
      </c>
    </row>
    <row r="156" spans="1:6">
      <c r="A156" s="44">
        <v>22</v>
      </c>
      <c r="B156" s="10" t="s">
        <v>171</v>
      </c>
      <c r="C156" s="7">
        <f>36.2-36.2</f>
        <v>0</v>
      </c>
      <c r="D156" s="7">
        <v>0</v>
      </c>
      <c r="E156" s="7">
        <v>0</v>
      </c>
      <c r="F156" s="7">
        <v>0</v>
      </c>
    </row>
    <row r="157" spans="1:6">
      <c r="A157" s="21">
        <v>23</v>
      </c>
      <c r="B157" s="10" t="s">
        <v>151</v>
      </c>
      <c r="C157" s="7">
        <f>282.48-66.23</f>
        <v>216.25</v>
      </c>
      <c r="D157" s="7">
        <v>0</v>
      </c>
      <c r="E157" s="7">
        <v>0</v>
      </c>
      <c r="F157" s="7">
        <v>0</v>
      </c>
    </row>
    <row r="158" spans="1:6">
      <c r="A158" s="21">
        <v>24</v>
      </c>
      <c r="B158" s="10" t="s">
        <v>152</v>
      </c>
      <c r="C158" s="7">
        <v>138.85</v>
      </c>
      <c r="D158" s="7">
        <v>0</v>
      </c>
      <c r="E158" s="7">
        <v>64</v>
      </c>
      <c r="F158" s="7">
        <v>0</v>
      </c>
    </row>
    <row r="159" spans="1:6">
      <c r="A159" s="44">
        <v>25</v>
      </c>
      <c r="B159" s="10" t="s">
        <v>153</v>
      </c>
      <c r="C159" s="7">
        <v>283.72000000000003</v>
      </c>
      <c r="D159" s="7">
        <v>0</v>
      </c>
      <c r="E159" s="7">
        <v>0</v>
      </c>
      <c r="F159" s="7">
        <v>0</v>
      </c>
    </row>
    <row r="160" spans="1:6">
      <c r="A160" s="44">
        <v>26</v>
      </c>
      <c r="B160" s="10" t="s">
        <v>167</v>
      </c>
      <c r="C160" s="7">
        <v>286.29000000000002</v>
      </c>
      <c r="D160" s="7"/>
      <c r="E160" s="7">
        <v>248.81</v>
      </c>
      <c r="F160" s="7"/>
    </row>
    <row r="161" spans="1:6">
      <c r="A161" s="21">
        <v>27</v>
      </c>
      <c r="B161" s="10" t="s">
        <v>172</v>
      </c>
      <c r="C161" s="7">
        <f>274.34-49.56</f>
        <v>224.77999999999997</v>
      </c>
      <c r="D161" s="7">
        <v>0</v>
      </c>
      <c r="E161" s="7">
        <v>0</v>
      </c>
      <c r="F161" s="7">
        <v>0</v>
      </c>
    </row>
    <row r="162" spans="1:6">
      <c r="A162" s="21">
        <v>28</v>
      </c>
      <c r="B162" s="10" t="s">
        <v>154</v>
      </c>
      <c r="C162" s="7">
        <f>294.46-33.72-0.23-34.13-36.42</f>
        <v>189.95999999999998</v>
      </c>
      <c r="D162" s="7">
        <v>0</v>
      </c>
      <c r="E162" s="7">
        <v>0</v>
      </c>
      <c r="F162" s="7">
        <v>0</v>
      </c>
    </row>
    <row r="163" spans="1:6">
      <c r="A163" s="44">
        <v>29</v>
      </c>
      <c r="B163" s="10" t="s">
        <v>155</v>
      </c>
      <c r="C163" s="7">
        <v>280.20999999999998</v>
      </c>
      <c r="D163" s="7">
        <v>0</v>
      </c>
      <c r="E163" s="7">
        <v>0</v>
      </c>
      <c r="F163" s="7">
        <v>0</v>
      </c>
    </row>
    <row r="164" spans="1:6">
      <c r="A164" s="44">
        <v>30</v>
      </c>
      <c r="B164" s="6" t="s">
        <v>6</v>
      </c>
      <c r="C164" s="7">
        <f>934.66-37.17-38.89-37.17</f>
        <v>821.43000000000006</v>
      </c>
      <c r="D164" s="7"/>
      <c r="E164" s="7">
        <v>0</v>
      </c>
      <c r="F164" s="7">
        <v>0</v>
      </c>
    </row>
    <row r="165" spans="1:6">
      <c r="A165" s="21">
        <v>31</v>
      </c>
      <c r="B165" s="10" t="s">
        <v>168</v>
      </c>
      <c r="C165" s="7">
        <v>28.1</v>
      </c>
      <c r="D165" s="7">
        <v>0</v>
      </c>
      <c r="E165" s="7">
        <v>0</v>
      </c>
      <c r="F165" s="7">
        <v>0</v>
      </c>
    </row>
    <row r="166" spans="1:6">
      <c r="A166" s="21">
        <v>32</v>
      </c>
      <c r="B166" s="10" t="s">
        <v>156</v>
      </c>
      <c r="C166" s="7">
        <v>0</v>
      </c>
      <c r="D166" s="7">
        <v>0</v>
      </c>
      <c r="E166" s="7">
        <v>300.72000000000003</v>
      </c>
      <c r="F166" s="7">
        <v>0</v>
      </c>
    </row>
    <row r="167" spans="1:6">
      <c r="A167" s="44">
        <v>33</v>
      </c>
      <c r="B167" s="10" t="s">
        <v>157</v>
      </c>
      <c r="C167" s="7">
        <f>535.32-48.81-34.93</f>
        <v>451.58000000000004</v>
      </c>
      <c r="D167" s="7">
        <v>0</v>
      </c>
      <c r="E167" s="7">
        <v>0</v>
      </c>
      <c r="F167" s="7">
        <v>0</v>
      </c>
    </row>
    <row r="168" spans="1:6">
      <c r="A168" s="44">
        <v>34</v>
      </c>
      <c r="B168" s="10" t="s">
        <v>158</v>
      </c>
      <c r="C168" s="7">
        <f>162.3-43</f>
        <v>119.30000000000001</v>
      </c>
      <c r="D168" s="7">
        <v>0</v>
      </c>
      <c r="E168" s="7">
        <v>0</v>
      </c>
      <c r="F168" s="7">
        <v>0</v>
      </c>
    </row>
    <row r="169" spans="1:6">
      <c r="A169" s="21">
        <v>35</v>
      </c>
      <c r="B169" s="10" t="s">
        <v>165</v>
      </c>
      <c r="C169" s="7">
        <v>31.22</v>
      </c>
      <c r="D169" s="7">
        <v>0</v>
      </c>
      <c r="E169" s="7">
        <v>0</v>
      </c>
      <c r="F169" s="7">
        <v>0</v>
      </c>
    </row>
    <row r="170" spans="1:6">
      <c r="A170" s="21">
        <v>36</v>
      </c>
      <c r="B170" s="6" t="s">
        <v>9</v>
      </c>
      <c r="C170" s="7">
        <v>364.59</v>
      </c>
      <c r="D170" s="7">
        <v>0</v>
      </c>
      <c r="E170" s="7">
        <v>0</v>
      </c>
      <c r="F170" s="7">
        <v>0</v>
      </c>
    </row>
    <row r="171" spans="1:6">
      <c r="A171" s="44">
        <v>37</v>
      </c>
      <c r="B171" s="6" t="s">
        <v>10</v>
      </c>
      <c r="C171" s="7">
        <f>406.15-239.87</f>
        <v>166.27999999999997</v>
      </c>
      <c r="D171" s="7">
        <v>0</v>
      </c>
      <c r="E171" s="7">
        <v>0</v>
      </c>
      <c r="F171" s="7">
        <v>0</v>
      </c>
    </row>
    <row r="172" spans="1:6">
      <c r="A172" s="44">
        <v>38</v>
      </c>
      <c r="B172" s="10" t="s">
        <v>159</v>
      </c>
      <c r="C172" s="7">
        <f>473.41-262.85-31.58-33.76</f>
        <v>145.22000000000003</v>
      </c>
      <c r="D172" s="7">
        <v>0</v>
      </c>
      <c r="E172" s="7">
        <v>0</v>
      </c>
      <c r="F172" s="7">
        <v>0</v>
      </c>
    </row>
    <row r="173" spans="1:6">
      <c r="A173" s="21">
        <v>39</v>
      </c>
      <c r="B173" s="10" t="s">
        <v>160</v>
      </c>
      <c r="C173" s="7">
        <f>68-34-34</f>
        <v>0</v>
      </c>
      <c r="D173" s="7">
        <v>0</v>
      </c>
      <c r="E173" s="7">
        <v>0</v>
      </c>
      <c r="F173" s="7">
        <v>0</v>
      </c>
    </row>
    <row r="174" spans="1:6">
      <c r="A174" s="21">
        <v>40</v>
      </c>
      <c r="B174" s="10" t="s">
        <v>161</v>
      </c>
      <c r="C174" s="7">
        <f>150.5-34.65-12.8</f>
        <v>103.05</v>
      </c>
      <c r="D174" s="7">
        <v>0</v>
      </c>
      <c r="E174" s="7">
        <v>0</v>
      </c>
      <c r="F174" s="7">
        <v>0</v>
      </c>
    </row>
    <row r="175" spans="1:6">
      <c r="A175" s="44">
        <v>41</v>
      </c>
      <c r="B175" s="10" t="s">
        <v>162</v>
      </c>
      <c r="C175" s="7">
        <f>258.7-62.47</f>
        <v>196.23</v>
      </c>
      <c r="D175" s="7">
        <v>0</v>
      </c>
      <c r="E175" s="7">
        <v>0</v>
      </c>
      <c r="F175" s="7">
        <v>0</v>
      </c>
    </row>
    <row r="176" spans="1:6">
      <c r="A176" s="44">
        <v>42</v>
      </c>
      <c r="B176" s="10" t="s">
        <v>163</v>
      </c>
      <c r="C176" s="7">
        <v>137.41999999999999</v>
      </c>
      <c r="D176" s="7">
        <v>0</v>
      </c>
      <c r="E176" s="7">
        <v>0</v>
      </c>
      <c r="F176" s="7">
        <v>0</v>
      </c>
    </row>
    <row r="177" spans="1:6" ht="13.5" thickBot="1">
      <c r="A177" s="21">
        <v>43</v>
      </c>
      <c r="B177" s="30" t="s">
        <v>13</v>
      </c>
      <c r="C177" s="31">
        <f>444-32</f>
        <v>412</v>
      </c>
      <c r="D177" s="31">
        <v>0</v>
      </c>
      <c r="E177" s="31">
        <v>0</v>
      </c>
      <c r="F177" s="31">
        <v>0</v>
      </c>
    </row>
    <row r="178" spans="1:6" ht="13.5" thickBot="1">
      <c r="A178" s="23"/>
      <c r="B178" s="24" t="s">
        <v>116</v>
      </c>
      <c r="C178" s="14">
        <f>SUM(C135:C177)</f>
        <v>10072.469999999999</v>
      </c>
      <c r="D178" s="14">
        <f>SUM(D136:D177)</f>
        <v>0</v>
      </c>
      <c r="E178" s="14">
        <f>SUM(E135:E177)</f>
        <v>708.37</v>
      </c>
      <c r="F178" s="14">
        <f>SUM(F136:F177)</f>
        <v>0</v>
      </c>
    </row>
    <row r="179" spans="1:6">
      <c r="A179" s="26" t="s">
        <v>182</v>
      </c>
      <c r="B179" s="26"/>
      <c r="C179" s="35"/>
      <c r="D179" s="35"/>
      <c r="E179" s="35"/>
      <c r="F179" s="35"/>
    </row>
    <row r="180" spans="1:6">
      <c r="A180" s="25"/>
    </row>
    <row r="181" spans="1:6">
      <c r="A181" s="25"/>
    </row>
    <row r="182" spans="1:6">
      <c r="A182" s="25"/>
    </row>
    <row r="183" spans="1:6">
      <c r="A183" s="25"/>
    </row>
    <row r="184" spans="1:6">
      <c r="A184" s="25"/>
    </row>
    <row r="185" spans="1:6">
      <c r="A185" s="25"/>
    </row>
    <row r="186" spans="1:6">
      <c r="A186" s="25"/>
    </row>
    <row r="187" spans="1:6">
      <c r="A187" s="26"/>
    </row>
  </sheetData>
  <mergeCells count="10">
    <mergeCell ref="A5:A6"/>
    <mergeCell ref="B5:B6"/>
    <mergeCell ref="C5:D5"/>
    <mergeCell ref="E5:F5"/>
    <mergeCell ref="A129:B129"/>
    <mergeCell ref="A132:F132"/>
    <mergeCell ref="A133:A134"/>
    <mergeCell ref="B133:B134"/>
    <mergeCell ref="C133:D133"/>
    <mergeCell ref="E133:F133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9" fitToHeight="4" orientation="landscape" r:id="rId1"/>
  <headerFooter alignWithMargins="0"/>
  <rowBreaks count="1" manualBreakCount="1"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"/>
  <sheetViews>
    <sheetView view="pageBreakPreview" zoomScale="60" zoomScaleNormal="100" workbookViewId="0">
      <selection activeCell="E75" sqref="E75"/>
    </sheetView>
  </sheetViews>
  <sheetFormatPr defaultRowHeight="12.75"/>
  <cols>
    <col min="1" max="1" width="9.140625" style="5"/>
    <col min="2" max="2" width="4.140625" style="5" customWidth="1"/>
    <col min="3" max="3" width="17.85546875" style="5" customWidth="1"/>
    <col min="4" max="16384" width="9.140625" style="5"/>
  </cols>
  <sheetData>
    <row r="1" spans="1:5">
      <c r="E1" s="5" t="s">
        <v>178</v>
      </c>
    </row>
    <row r="2" spans="1:5">
      <c r="A2" s="5" t="s">
        <v>176</v>
      </c>
    </row>
    <row r="4" spans="1:5">
      <c r="B4" s="61"/>
      <c r="C4" s="61"/>
      <c r="D4" s="41" t="s">
        <v>177</v>
      </c>
    </row>
    <row r="5" spans="1:5">
      <c r="B5" s="56"/>
      <c r="C5" s="56"/>
    </row>
    <row r="6" spans="1:5">
      <c r="A6" s="5" t="s">
        <v>179</v>
      </c>
      <c r="B6" s="56"/>
      <c r="C6" s="56"/>
    </row>
    <row r="7" spans="1:5">
      <c r="A7" s="5" t="s">
        <v>180</v>
      </c>
    </row>
    <row r="8" spans="1:5">
      <c r="A8" s="58">
        <v>1</v>
      </c>
      <c r="B8" s="57" t="s">
        <v>110</v>
      </c>
      <c r="D8" s="58">
        <v>50</v>
      </c>
      <c r="E8" s="57" t="s">
        <v>45</v>
      </c>
    </row>
    <row r="9" spans="1:5">
      <c r="A9" s="58">
        <v>2</v>
      </c>
      <c r="B9" s="57" t="s">
        <v>57</v>
      </c>
      <c r="D9" s="58">
        <v>51</v>
      </c>
      <c r="E9" s="57" t="s">
        <v>46</v>
      </c>
    </row>
    <row r="10" spans="1:5">
      <c r="A10" s="58">
        <v>3</v>
      </c>
      <c r="B10" s="57" t="s">
        <v>166</v>
      </c>
      <c r="D10" s="58">
        <v>52</v>
      </c>
      <c r="E10" s="57" t="s">
        <v>47</v>
      </c>
    </row>
    <row r="11" spans="1:5">
      <c r="A11" s="58">
        <v>4</v>
      </c>
      <c r="B11" s="57" t="s">
        <v>58</v>
      </c>
      <c r="D11" s="58">
        <v>53</v>
      </c>
      <c r="E11" s="57" t="s">
        <v>48</v>
      </c>
    </row>
    <row r="12" spans="1:5">
      <c r="A12" s="58">
        <v>5</v>
      </c>
      <c r="B12" s="57" t="s">
        <v>59</v>
      </c>
      <c r="D12" s="58">
        <v>54</v>
      </c>
      <c r="E12" s="57" t="s">
        <v>49</v>
      </c>
    </row>
    <row r="13" spans="1:5">
      <c r="A13" s="58">
        <v>6</v>
      </c>
      <c r="B13" s="57" t="s">
        <v>7</v>
      </c>
      <c r="D13" s="58">
        <v>55</v>
      </c>
      <c r="E13" s="57" t="s">
        <v>50</v>
      </c>
    </row>
    <row r="14" spans="1:5">
      <c r="A14" s="58">
        <v>7</v>
      </c>
      <c r="B14" s="57" t="s">
        <v>8</v>
      </c>
      <c r="D14" s="58">
        <v>56</v>
      </c>
      <c r="E14" s="57" t="s">
        <v>51</v>
      </c>
    </row>
    <row r="15" spans="1:5">
      <c r="A15" s="58">
        <v>8</v>
      </c>
      <c r="B15" s="57" t="s">
        <v>129</v>
      </c>
      <c r="D15" s="58">
        <v>57</v>
      </c>
      <c r="E15" s="57" t="s">
        <v>52</v>
      </c>
    </row>
    <row r="16" spans="1:5">
      <c r="A16" s="58">
        <v>9</v>
      </c>
      <c r="B16" s="57" t="s">
        <v>130</v>
      </c>
      <c r="D16" s="58">
        <v>58</v>
      </c>
      <c r="E16" s="57" t="s">
        <v>53</v>
      </c>
    </row>
    <row r="17" spans="1:5">
      <c r="A17" s="58">
        <v>10</v>
      </c>
      <c r="B17" s="57" t="s">
        <v>118</v>
      </c>
      <c r="D17" s="58">
        <v>59</v>
      </c>
      <c r="E17" s="57" t="s">
        <v>54</v>
      </c>
    </row>
    <row r="18" spans="1:5">
      <c r="A18" s="58">
        <v>11</v>
      </c>
      <c r="B18" s="59" t="s">
        <v>120</v>
      </c>
      <c r="D18" s="58">
        <v>60</v>
      </c>
      <c r="E18" s="57" t="s">
        <v>111</v>
      </c>
    </row>
    <row r="19" spans="1:5">
      <c r="A19" s="58">
        <v>12</v>
      </c>
      <c r="B19" s="57" t="s">
        <v>15</v>
      </c>
      <c r="D19" s="58">
        <v>61</v>
      </c>
      <c r="E19" s="57" t="s">
        <v>102</v>
      </c>
    </row>
    <row r="20" spans="1:5">
      <c r="A20" s="58">
        <v>13</v>
      </c>
      <c r="B20" s="57" t="s">
        <v>17</v>
      </c>
      <c r="D20" s="58">
        <v>62</v>
      </c>
      <c r="E20" s="57" t="s">
        <v>55</v>
      </c>
    </row>
    <row r="21" spans="1:5">
      <c r="A21" s="58">
        <v>14</v>
      </c>
      <c r="B21" s="57" t="s">
        <v>100</v>
      </c>
      <c r="D21" s="58">
        <v>63</v>
      </c>
      <c r="E21" s="57" t="s">
        <v>22</v>
      </c>
    </row>
    <row r="22" spans="1:5">
      <c r="A22" s="58">
        <v>15</v>
      </c>
      <c r="B22" s="57" t="s">
        <v>101</v>
      </c>
      <c r="D22" s="58">
        <v>64</v>
      </c>
      <c r="E22" s="57" t="s">
        <v>32</v>
      </c>
    </row>
    <row r="23" spans="1:5">
      <c r="A23" s="58">
        <v>16</v>
      </c>
      <c r="B23" s="57" t="s">
        <v>113</v>
      </c>
      <c r="D23" s="58">
        <v>65</v>
      </c>
      <c r="E23" s="57" t="s">
        <v>33</v>
      </c>
    </row>
    <row r="24" spans="1:5" s="52" customFormat="1">
      <c r="A24" s="58">
        <v>17</v>
      </c>
      <c r="B24" s="57" t="s">
        <v>2</v>
      </c>
      <c r="D24" s="58">
        <v>66</v>
      </c>
      <c r="E24" s="57" t="s">
        <v>34</v>
      </c>
    </row>
    <row r="25" spans="1:5">
      <c r="A25" s="58">
        <v>18</v>
      </c>
      <c r="B25" s="57" t="s">
        <v>119</v>
      </c>
      <c r="D25" s="58">
        <v>67</v>
      </c>
      <c r="E25" s="57" t="s">
        <v>35</v>
      </c>
    </row>
    <row r="26" spans="1:5">
      <c r="A26" s="58">
        <v>19</v>
      </c>
      <c r="B26" s="57" t="s">
        <v>63</v>
      </c>
      <c r="D26" s="58">
        <v>68</v>
      </c>
      <c r="E26" s="57" t="s">
        <v>36</v>
      </c>
    </row>
    <row r="27" spans="1:5">
      <c r="A27" s="58">
        <v>20</v>
      </c>
      <c r="B27" s="57" t="s">
        <v>61</v>
      </c>
      <c r="D27" s="58">
        <v>69</v>
      </c>
      <c r="E27" s="57" t="s">
        <v>37</v>
      </c>
    </row>
    <row r="28" spans="1:5">
      <c r="A28" s="58">
        <v>21</v>
      </c>
      <c r="B28" s="57" t="s">
        <v>64</v>
      </c>
      <c r="D28" s="58">
        <v>70</v>
      </c>
      <c r="E28" s="57" t="s">
        <v>38</v>
      </c>
    </row>
    <row r="29" spans="1:5">
      <c r="A29" s="58">
        <v>22</v>
      </c>
      <c r="B29" s="57" t="s">
        <v>31</v>
      </c>
      <c r="D29" s="58">
        <v>71</v>
      </c>
      <c r="E29" s="57" t="s">
        <v>39</v>
      </c>
    </row>
    <row r="30" spans="1:5">
      <c r="A30" s="58">
        <v>23</v>
      </c>
      <c r="B30" s="57" t="s">
        <v>66</v>
      </c>
      <c r="D30" s="58">
        <v>72</v>
      </c>
      <c r="E30" s="57" t="s">
        <v>40</v>
      </c>
    </row>
    <row r="31" spans="1:5">
      <c r="A31" s="58">
        <v>24</v>
      </c>
      <c r="B31" s="57" t="s">
        <v>62</v>
      </c>
      <c r="D31" s="58">
        <v>73</v>
      </c>
      <c r="E31" s="57" t="s">
        <v>18</v>
      </c>
    </row>
    <row r="32" spans="1:5">
      <c r="A32" s="58">
        <v>25</v>
      </c>
      <c r="B32" s="57" t="s">
        <v>67</v>
      </c>
      <c r="D32" s="58">
        <v>74</v>
      </c>
      <c r="E32" s="57" t="s">
        <v>65</v>
      </c>
    </row>
    <row r="33" spans="1:5">
      <c r="A33" s="58">
        <v>26</v>
      </c>
      <c r="B33" s="57" t="s">
        <v>68</v>
      </c>
      <c r="D33" s="58">
        <v>75</v>
      </c>
      <c r="E33" s="57" t="s">
        <v>114</v>
      </c>
    </row>
    <row r="34" spans="1:5">
      <c r="A34" s="58">
        <v>27</v>
      </c>
      <c r="B34" s="57" t="s">
        <v>69</v>
      </c>
      <c r="D34" s="58">
        <v>76</v>
      </c>
      <c r="E34" s="57" t="s">
        <v>41</v>
      </c>
    </row>
    <row r="35" spans="1:5">
      <c r="A35" s="58">
        <v>28</v>
      </c>
      <c r="B35" s="57" t="s">
        <v>70</v>
      </c>
      <c r="D35" s="58">
        <v>77</v>
      </c>
      <c r="E35" s="57" t="s">
        <v>19</v>
      </c>
    </row>
    <row r="36" spans="1:5">
      <c r="A36" s="58">
        <v>29</v>
      </c>
      <c r="B36" s="57" t="s">
        <v>71</v>
      </c>
      <c r="D36" s="58">
        <v>78</v>
      </c>
      <c r="E36" s="57" t="s">
        <v>20</v>
      </c>
    </row>
    <row r="37" spans="1:5">
      <c r="A37" s="58">
        <v>30</v>
      </c>
      <c r="B37" s="57" t="s">
        <v>72</v>
      </c>
      <c r="D37" s="58">
        <v>79</v>
      </c>
      <c r="E37" s="57" t="s">
        <v>87</v>
      </c>
    </row>
    <row r="38" spans="1:5">
      <c r="A38" s="58">
        <v>31</v>
      </c>
      <c r="B38" s="57" t="s">
        <v>73</v>
      </c>
      <c r="D38" s="58">
        <v>80</v>
      </c>
      <c r="E38" s="57" t="s">
        <v>16</v>
      </c>
    </row>
    <row r="39" spans="1:5">
      <c r="A39" s="58">
        <v>32</v>
      </c>
      <c r="B39" s="57" t="s">
        <v>74</v>
      </c>
      <c r="D39" s="58">
        <v>81</v>
      </c>
      <c r="E39" s="57" t="s">
        <v>88</v>
      </c>
    </row>
    <row r="40" spans="1:5">
      <c r="A40" s="58">
        <v>33</v>
      </c>
      <c r="B40" s="57" t="s">
        <v>75</v>
      </c>
      <c r="D40" s="58">
        <v>82</v>
      </c>
      <c r="E40" s="57" t="s">
        <v>89</v>
      </c>
    </row>
    <row r="41" spans="1:5">
      <c r="A41" s="58">
        <v>34</v>
      </c>
      <c r="B41" s="57" t="s">
        <v>76</v>
      </c>
      <c r="D41" s="58">
        <v>83</v>
      </c>
      <c r="E41" s="57" t="s">
        <v>90</v>
      </c>
    </row>
    <row r="42" spans="1:5">
      <c r="A42" s="58">
        <v>35</v>
      </c>
      <c r="B42" s="57" t="s">
        <v>77</v>
      </c>
      <c r="D42" s="58">
        <v>84</v>
      </c>
      <c r="E42" s="57" t="s">
        <v>91</v>
      </c>
    </row>
    <row r="43" spans="1:5">
      <c r="A43" s="58">
        <v>36</v>
      </c>
      <c r="B43" s="57" t="s">
        <v>107</v>
      </c>
      <c r="D43" s="58">
        <v>85</v>
      </c>
      <c r="E43" s="57" t="s">
        <v>28</v>
      </c>
    </row>
    <row r="44" spans="1:5">
      <c r="A44" s="58">
        <v>37</v>
      </c>
      <c r="B44" s="57" t="s">
        <v>78</v>
      </c>
      <c r="D44" s="58">
        <v>86</v>
      </c>
      <c r="E44" s="57" t="s">
        <v>29</v>
      </c>
    </row>
    <row r="45" spans="1:5">
      <c r="A45" s="58">
        <v>38</v>
      </c>
      <c r="B45" s="57" t="s">
        <v>79</v>
      </c>
      <c r="D45" s="58">
        <v>87</v>
      </c>
      <c r="E45" s="57" t="s">
        <v>30</v>
      </c>
    </row>
    <row r="46" spans="1:5">
      <c r="A46" s="58">
        <v>39</v>
      </c>
      <c r="B46" s="57" t="s">
        <v>132</v>
      </c>
      <c r="D46" s="58">
        <v>88</v>
      </c>
      <c r="E46" s="57" t="s">
        <v>24</v>
      </c>
    </row>
    <row r="47" spans="1:5">
      <c r="A47" s="58">
        <v>40</v>
      </c>
      <c r="B47" s="57" t="s">
        <v>125</v>
      </c>
      <c r="D47" s="58">
        <v>89</v>
      </c>
      <c r="E47" s="57" t="s">
        <v>23</v>
      </c>
    </row>
    <row r="48" spans="1:5">
      <c r="A48" s="58">
        <v>41</v>
      </c>
      <c r="B48" s="57" t="s">
        <v>173</v>
      </c>
      <c r="D48" s="58">
        <v>90</v>
      </c>
      <c r="E48" s="57" t="s">
        <v>96</v>
      </c>
    </row>
    <row r="49" spans="1:5">
      <c r="A49" s="58">
        <v>42</v>
      </c>
      <c r="B49" s="57" t="s">
        <v>174</v>
      </c>
      <c r="D49" s="58">
        <v>91</v>
      </c>
      <c r="E49" s="57" t="s">
        <v>103</v>
      </c>
    </row>
    <row r="50" spans="1:5">
      <c r="A50" s="58">
        <v>43</v>
      </c>
      <c r="B50" s="57" t="s">
        <v>175</v>
      </c>
      <c r="D50" s="58">
        <v>92</v>
      </c>
      <c r="E50" s="57" t="s">
        <v>84</v>
      </c>
    </row>
    <row r="51" spans="1:5">
      <c r="A51" s="58">
        <v>44</v>
      </c>
      <c r="B51" s="57" t="s">
        <v>106</v>
      </c>
      <c r="D51" s="58">
        <v>93</v>
      </c>
      <c r="E51" s="57" t="s">
        <v>80</v>
      </c>
    </row>
    <row r="52" spans="1:5">
      <c r="A52" s="58">
        <v>45</v>
      </c>
      <c r="B52" s="57" t="s">
        <v>104</v>
      </c>
      <c r="D52" s="58">
        <v>94</v>
      </c>
      <c r="E52" s="57" t="s">
        <v>86</v>
      </c>
    </row>
    <row r="53" spans="1:5">
      <c r="A53" s="58">
        <v>46</v>
      </c>
      <c r="B53" s="57" t="s">
        <v>105</v>
      </c>
      <c r="D53" s="58">
        <v>95</v>
      </c>
      <c r="E53" s="57" t="s">
        <v>81</v>
      </c>
    </row>
    <row r="54" spans="1:5">
      <c r="A54" s="58">
        <v>47</v>
      </c>
      <c r="B54" s="57" t="s">
        <v>42</v>
      </c>
      <c r="D54" s="58">
        <v>96</v>
      </c>
      <c r="E54" s="57" t="s">
        <v>82</v>
      </c>
    </row>
    <row r="55" spans="1:5">
      <c r="A55" s="58">
        <v>48</v>
      </c>
      <c r="B55" s="57" t="s">
        <v>43</v>
      </c>
      <c r="D55" s="58">
        <v>97</v>
      </c>
      <c r="E55" s="57" t="s">
        <v>83</v>
      </c>
    </row>
    <row r="56" spans="1:5">
      <c r="A56" s="58">
        <v>49</v>
      </c>
      <c r="B56" s="57" t="s">
        <v>44</v>
      </c>
      <c r="D56" s="58">
        <v>98</v>
      </c>
      <c r="E56" s="57" t="s">
        <v>85</v>
      </c>
    </row>
    <row r="58" spans="1:5">
      <c r="A58" s="58">
        <v>99</v>
      </c>
      <c r="B58" s="57" t="s">
        <v>25</v>
      </c>
    </row>
    <row r="59" spans="1:5">
      <c r="A59" s="58">
        <v>100</v>
      </c>
      <c r="B59" s="57" t="s">
        <v>26</v>
      </c>
    </row>
    <row r="60" spans="1:5">
      <c r="A60" s="58">
        <v>101</v>
      </c>
      <c r="B60" s="57" t="s">
        <v>27</v>
      </c>
    </row>
    <row r="61" spans="1:5">
      <c r="A61" s="58">
        <v>102</v>
      </c>
      <c r="B61" s="57" t="s">
        <v>14</v>
      </c>
    </row>
    <row r="62" spans="1:5">
      <c r="A62" s="58">
        <v>103</v>
      </c>
      <c r="B62" s="57" t="s">
        <v>97</v>
      </c>
    </row>
    <row r="63" spans="1:5">
      <c r="A63" s="58">
        <v>104</v>
      </c>
      <c r="B63" s="57" t="s">
        <v>98</v>
      </c>
    </row>
    <row r="64" spans="1:5">
      <c r="A64" s="58">
        <v>105</v>
      </c>
      <c r="B64" s="57" t="s">
        <v>99</v>
      </c>
    </row>
    <row r="65" spans="1:2">
      <c r="A65" s="58">
        <v>106</v>
      </c>
      <c r="B65" s="57" t="s">
        <v>5</v>
      </c>
    </row>
    <row r="66" spans="1:2">
      <c r="A66" s="58">
        <v>107</v>
      </c>
      <c r="B66" s="57" t="s">
        <v>21</v>
      </c>
    </row>
    <row r="67" spans="1:2">
      <c r="A67" s="58">
        <v>108</v>
      </c>
      <c r="B67" s="57" t="s">
        <v>127</v>
      </c>
    </row>
    <row r="68" spans="1:2" s="52" customFormat="1">
      <c r="A68" s="58">
        <v>109</v>
      </c>
      <c r="B68" s="57" t="s">
        <v>128</v>
      </c>
    </row>
    <row r="69" spans="1:2">
      <c r="A69" s="58">
        <v>110</v>
      </c>
      <c r="B69" s="57" t="s">
        <v>112</v>
      </c>
    </row>
    <row r="70" spans="1:2" s="52" customFormat="1">
      <c r="A70" s="58">
        <v>111</v>
      </c>
      <c r="B70" s="57" t="s">
        <v>56</v>
      </c>
    </row>
    <row r="71" spans="1:2">
      <c r="A71" s="58">
        <v>112</v>
      </c>
      <c r="B71" s="57" t="s">
        <v>3</v>
      </c>
    </row>
    <row r="72" spans="1:2">
      <c r="A72" s="58">
        <v>113</v>
      </c>
      <c r="B72" s="57" t="s">
        <v>4</v>
      </c>
    </row>
    <row r="73" spans="1:2">
      <c r="A73" s="58">
        <v>114</v>
      </c>
      <c r="B73" s="57" t="s">
        <v>109</v>
      </c>
    </row>
    <row r="74" spans="1:2">
      <c r="A74" s="58">
        <v>115</v>
      </c>
      <c r="B74" s="60" t="s">
        <v>117</v>
      </c>
    </row>
    <row r="75" spans="1:2">
      <c r="A75" s="58">
        <v>116</v>
      </c>
      <c r="B75" s="57" t="s">
        <v>11</v>
      </c>
    </row>
    <row r="76" spans="1:2">
      <c r="A76" s="58">
        <v>117</v>
      </c>
      <c r="B76" s="57" t="s">
        <v>12</v>
      </c>
    </row>
    <row r="77" spans="1:2">
      <c r="A77" s="58">
        <v>118</v>
      </c>
      <c r="B77" s="57" t="s">
        <v>95</v>
      </c>
    </row>
    <row r="78" spans="1:2">
      <c r="A78" s="58">
        <v>119</v>
      </c>
      <c r="B78" s="57" t="s">
        <v>92</v>
      </c>
    </row>
    <row r="79" spans="1:2">
      <c r="A79" s="58">
        <v>120</v>
      </c>
      <c r="B79" s="57" t="s">
        <v>108</v>
      </c>
    </row>
    <row r="80" spans="1:2">
      <c r="A80" s="58">
        <v>121</v>
      </c>
      <c r="B80" s="57" t="s">
        <v>93</v>
      </c>
    </row>
    <row r="81" spans="1:2">
      <c r="A81" s="58">
        <v>122</v>
      </c>
      <c r="B81" s="57" t="s">
        <v>94</v>
      </c>
    </row>
    <row r="95" spans="1:2" s="52" customFormat="1"/>
    <row r="98" s="52" customFormat="1"/>
    <row r="107" s="52" customForma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47"/>
  <sheetViews>
    <sheetView topLeftCell="A109" workbookViewId="0">
      <selection activeCell="A124" sqref="A124"/>
    </sheetView>
  </sheetViews>
  <sheetFormatPr defaultRowHeight="12.75"/>
  <cols>
    <col min="1" max="1" width="3.42578125" style="5" customWidth="1"/>
    <col min="2" max="2" width="17" style="5" customWidth="1"/>
    <col min="3" max="4" width="11.85546875" style="5" customWidth="1"/>
    <col min="5" max="6" width="10.7109375" style="5" customWidth="1"/>
    <col min="7" max="7" width="12.42578125" style="5" customWidth="1"/>
    <col min="8" max="8" width="11" style="5" customWidth="1"/>
    <col min="9" max="9" width="11.28515625" style="5" customWidth="1"/>
    <col min="10" max="10" width="8.85546875" style="5" customWidth="1"/>
    <col min="11" max="11" width="6.85546875" style="5" customWidth="1"/>
    <col min="12" max="12" width="8.28515625" style="5" customWidth="1"/>
    <col min="13" max="13" width="9.7109375" style="5" customWidth="1"/>
    <col min="14" max="14" width="6.140625" style="5" customWidth="1"/>
    <col min="15" max="15" width="8.42578125" style="5" customWidth="1"/>
    <col min="16" max="16" width="8.28515625" style="5" customWidth="1"/>
    <col min="17" max="16384" width="9.140625" style="5"/>
  </cols>
  <sheetData>
    <row r="2" spans="1:16">
      <c r="A2" s="21">
        <v>17</v>
      </c>
      <c r="B2" s="53" t="s">
        <v>2</v>
      </c>
      <c r="C2" s="54">
        <f>218.57-200.72-17.85</f>
        <v>0</v>
      </c>
      <c r="D2" s="54">
        <f>1442.11+200.72+17.85</f>
        <v>1660.6799999999998</v>
      </c>
      <c r="E2" s="54">
        <v>0</v>
      </c>
      <c r="F2" s="54">
        <v>0</v>
      </c>
      <c r="G2" s="55">
        <f t="shared" ref="G2:G33" si="0">C2+E2</f>
        <v>0</v>
      </c>
      <c r="H2" s="55">
        <f t="shared" ref="H2:H33" si="1">D2+F2</f>
        <v>1660.6799999999998</v>
      </c>
      <c r="I2" s="55">
        <f t="shared" ref="I2:I33" si="2">C2+D2+E2+F2</f>
        <v>1660.6799999999998</v>
      </c>
      <c r="J2" s="63">
        <f t="shared" ref="J2:J33" si="3">G2/I2</f>
        <v>0</v>
      </c>
      <c r="K2" s="48">
        <f>6-5-1</f>
        <v>0</v>
      </c>
      <c r="L2" s="48">
        <f>34+5+1</f>
        <v>40</v>
      </c>
      <c r="M2" s="48">
        <f t="shared" ref="M2:M46" si="4">SUM(K2:L2)</f>
        <v>40</v>
      </c>
      <c r="N2" s="54">
        <v>0</v>
      </c>
      <c r="O2" s="54">
        <v>0</v>
      </c>
      <c r="P2" s="49">
        <f t="shared" ref="P2:P33" si="5">SUM(N2:O2)</f>
        <v>0</v>
      </c>
    </row>
    <row r="3" spans="1:16">
      <c r="A3" s="21">
        <v>63</v>
      </c>
      <c r="B3" s="53" t="s">
        <v>22</v>
      </c>
      <c r="C3" s="54">
        <v>0</v>
      </c>
      <c r="D3" s="54">
        <v>1394.3</v>
      </c>
      <c r="E3" s="54">
        <v>0</v>
      </c>
      <c r="F3" s="54">
        <v>338.04</v>
      </c>
      <c r="G3" s="55">
        <f t="shared" si="0"/>
        <v>0</v>
      </c>
      <c r="H3" s="55">
        <f t="shared" si="1"/>
        <v>1732.34</v>
      </c>
      <c r="I3" s="55">
        <f t="shared" si="2"/>
        <v>1732.34</v>
      </c>
      <c r="J3" s="63">
        <f t="shared" si="3"/>
        <v>0</v>
      </c>
      <c r="K3" s="48">
        <v>0</v>
      </c>
      <c r="L3" s="48">
        <v>28</v>
      </c>
      <c r="M3" s="48">
        <f t="shared" si="4"/>
        <v>28</v>
      </c>
      <c r="N3" s="54">
        <v>0</v>
      </c>
      <c r="O3" s="48">
        <v>8</v>
      </c>
      <c r="P3" s="49">
        <f t="shared" si="5"/>
        <v>8</v>
      </c>
    </row>
    <row r="4" spans="1:16">
      <c r="A4" s="21">
        <v>78</v>
      </c>
      <c r="B4" s="53" t="s">
        <v>20</v>
      </c>
      <c r="C4" s="54">
        <f>122.9-122.9</f>
        <v>0</v>
      </c>
      <c r="D4" s="54">
        <f>680.6+122.9</f>
        <v>803.5</v>
      </c>
      <c r="E4" s="54">
        <v>0</v>
      </c>
      <c r="F4" s="54">
        <v>0</v>
      </c>
      <c r="G4" s="55">
        <f t="shared" si="0"/>
        <v>0</v>
      </c>
      <c r="H4" s="55">
        <f t="shared" si="1"/>
        <v>803.5</v>
      </c>
      <c r="I4" s="55">
        <f t="shared" si="2"/>
        <v>803.5</v>
      </c>
      <c r="J4" s="63">
        <f t="shared" si="3"/>
        <v>0</v>
      </c>
      <c r="K4" s="48">
        <f>3-3</f>
        <v>0</v>
      </c>
      <c r="L4" s="48">
        <f>17+3</f>
        <v>20</v>
      </c>
      <c r="M4" s="48">
        <f t="shared" si="4"/>
        <v>20</v>
      </c>
      <c r="N4" s="54">
        <v>0</v>
      </c>
      <c r="O4" s="54">
        <v>0</v>
      </c>
      <c r="P4" s="49">
        <f t="shared" si="5"/>
        <v>0</v>
      </c>
    </row>
    <row r="5" spans="1:16">
      <c r="A5" s="21">
        <v>88</v>
      </c>
      <c r="B5" s="53" t="s">
        <v>24</v>
      </c>
      <c r="C5" s="54">
        <v>0</v>
      </c>
      <c r="D5" s="54">
        <f>1144.14-0.73</f>
        <v>1143.4100000000001</v>
      </c>
      <c r="E5" s="54">
        <v>0</v>
      </c>
      <c r="F5" s="54">
        <v>0</v>
      </c>
      <c r="G5" s="55">
        <f t="shared" si="0"/>
        <v>0</v>
      </c>
      <c r="H5" s="55">
        <f t="shared" si="1"/>
        <v>1143.4100000000001</v>
      </c>
      <c r="I5" s="55">
        <f t="shared" si="2"/>
        <v>1143.4100000000001</v>
      </c>
      <c r="J5" s="63">
        <f t="shared" si="3"/>
        <v>0</v>
      </c>
      <c r="K5" s="48">
        <v>0</v>
      </c>
      <c r="L5" s="48">
        <v>26</v>
      </c>
      <c r="M5" s="48">
        <f t="shared" si="4"/>
        <v>26</v>
      </c>
      <c r="N5" s="54">
        <v>0</v>
      </c>
      <c r="O5" s="54">
        <v>0</v>
      </c>
      <c r="P5" s="49">
        <f t="shared" si="5"/>
        <v>0</v>
      </c>
    </row>
    <row r="6" spans="1:16">
      <c r="A6" s="21">
        <v>100</v>
      </c>
      <c r="B6" s="53" t="s">
        <v>26</v>
      </c>
      <c r="C6" s="54">
        <f>453-280.2-172.8</f>
        <v>0</v>
      </c>
      <c r="D6" s="54">
        <f>766.4+280.2+172.8</f>
        <v>1219.3999999999999</v>
      </c>
      <c r="E6" s="54">
        <v>0</v>
      </c>
      <c r="F6" s="54">
        <v>0</v>
      </c>
      <c r="G6" s="55">
        <f t="shared" si="0"/>
        <v>0</v>
      </c>
      <c r="H6" s="55">
        <f t="shared" si="1"/>
        <v>1219.3999999999999</v>
      </c>
      <c r="I6" s="55">
        <f t="shared" si="2"/>
        <v>1219.3999999999999</v>
      </c>
      <c r="J6" s="63">
        <f t="shared" si="3"/>
        <v>0</v>
      </c>
      <c r="K6" s="48">
        <f>10-6-4</f>
        <v>0</v>
      </c>
      <c r="L6" s="48">
        <f>17+6+4</f>
        <v>27</v>
      </c>
      <c r="M6" s="48">
        <f t="shared" si="4"/>
        <v>27</v>
      </c>
      <c r="N6" s="54">
        <v>0</v>
      </c>
      <c r="O6" s="54">
        <v>0</v>
      </c>
      <c r="P6" s="49">
        <f t="shared" si="5"/>
        <v>0</v>
      </c>
    </row>
    <row r="7" spans="1:16">
      <c r="A7" s="21">
        <v>117</v>
      </c>
      <c r="B7" s="6" t="s">
        <v>12</v>
      </c>
      <c r="C7" s="7">
        <f>263.49-231.49</f>
        <v>32</v>
      </c>
      <c r="D7" s="7">
        <f>1186+231.49</f>
        <v>1417.49</v>
      </c>
      <c r="E7" s="7">
        <v>0</v>
      </c>
      <c r="F7" s="7">
        <v>0</v>
      </c>
      <c r="G7" s="20">
        <f t="shared" si="0"/>
        <v>32</v>
      </c>
      <c r="H7" s="20">
        <f t="shared" si="1"/>
        <v>1417.49</v>
      </c>
      <c r="I7" s="20">
        <f t="shared" si="2"/>
        <v>1449.49</v>
      </c>
      <c r="J7" s="63">
        <f t="shared" si="3"/>
        <v>2.2076730436222394E-2</v>
      </c>
      <c r="K7" s="8">
        <f>7-6</f>
        <v>1</v>
      </c>
      <c r="L7" s="8">
        <f>33+6</f>
        <v>39</v>
      </c>
      <c r="M7" s="8">
        <f t="shared" si="4"/>
        <v>40</v>
      </c>
      <c r="N7" s="7">
        <v>0</v>
      </c>
      <c r="O7" s="7">
        <v>0</v>
      </c>
      <c r="P7" s="22">
        <f t="shared" si="5"/>
        <v>0</v>
      </c>
    </row>
    <row r="8" spans="1:16">
      <c r="A8" s="21">
        <v>67</v>
      </c>
      <c r="B8" s="6" t="s">
        <v>35</v>
      </c>
      <c r="C8" s="7">
        <f>415.43-207-47-34-47</f>
        <v>80.430000000000007</v>
      </c>
      <c r="D8" s="7">
        <f>441.53+207+47+34+47</f>
        <v>776.53</v>
      </c>
      <c r="E8" s="7">
        <v>0</v>
      </c>
      <c r="F8" s="7">
        <v>0</v>
      </c>
      <c r="G8" s="20">
        <f t="shared" si="0"/>
        <v>80.430000000000007</v>
      </c>
      <c r="H8" s="20">
        <f t="shared" si="1"/>
        <v>776.53</v>
      </c>
      <c r="I8" s="20">
        <f t="shared" si="2"/>
        <v>856.96</v>
      </c>
      <c r="J8" s="63">
        <f t="shared" si="3"/>
        <v>9.3855022404779692E-2</v>
      </c>
      <c r="K8" s="8">
        <f>10-5-1-2</f>
        <v>2</v>
      </c>
      <c r="L8" s="8">
        <f>10+5+1+2</f>
        <v>18</v>
      </c>
      <c r="M8" s="8">
        <f t="shared" si="4"/>
        <v>20</v>
      </c>
      <c r="N8" s="7">
        <v>0</v>
      </c>
      <c r="O8" s="7">
        <v>0</v>
      </c>
      <c r="P8" s="22">
        <f t="shared" si="5"/>
        <v>0</v>
      </c>
    </row>
    <row r="9" spans="1:16">
      <c r="A9" s="21">
        <v>101</v>
      </c>
      <c r="B9" s="6" t="s">
        <v>27</v>
      </c>
      <c r="C9" s="7">
        <f>221.05-47.7-38.25</f>
        <v>135.10000000000002</v>
      </c>
      <c r="D9" s="7">
        <f>995.4+47.7+38.25</f>
        <v>1081.3499999999999</v>
      </c>
      <c r="E9" s="7">
        <v>0</v>
      </c>
      <c r="F9" s="7">
        <v>0</v>
      </c>
      <c r="G9" s="20">
        <f t="shared" si="0"/>
        <v>135.10000000000002</v>
      </c>
      <c r="H9" s="20">
        <f t="shared" si="1"/>
        <v>1081.3499999999999</v>
      </c>
      <c r="I9" s="20">
        <f t="shared" si="2"/>
        <v>1216.4499999999998</v>
      </c>
      <c r="J9" s="63">
        <f t="shared" si="3"/>
        <v>0.11106087385424805</v>
      </c>
      <c r="K9" s="8">
        <f>5-1-1</f>
        <v>3</v>
      </c>
      <c r="L9" s="8">
        <f>22+1+1</f>
        <v>24</v>
      </c>
      <c r="M9" s="8">
        <f t="shared" si="4"/>
        <v>27</v>
      </c>
      <c r="N9" s="7">
        <v>0</v>
      </c>
      <c r="O9" s="7">
        <v>0</v>
      </c>
      <c r="P9" s="22">
        <f t="shared" si="5"/>
        <v>0</v>
      </c>
    </row>
    <row r="10" spans="1:16">
      <c r="A10" s="21">
        <v>41</v>
      </c>
      <c r="B10" s="6" t="s">
        <v>173</v>
      </c>
      <c r="C10" s="7">
        <f>188.71</f>
        <v>188.71</v>
      </c>
      <c r="D10" s="7">
        <f>1258.65</f>
        <v>1258.6500000000001</v>
      </c>
      <c r="E10" s="7">
        <v>0</v>
      </c>
      <c r="F10" s="7">
        <v>0</v>
      </c>
      <c r="G10" s="20">
        <f t="shared" si="0"/>
        <v>188.71</v>
      </c>
      <c r="H10" s="20">
        <f t="shared" si="1"/>
        <v>1258.6500000000001</v>
      </c>
      <c r="I10" s="20">
        <f t="shared" si="2"/>
        <v>1447.3600000000001</v>
      </c>
      <c r="J10" s="63">
        <f t="shared" si="3"/>
        <v>0.1303822131328764</v>
      </c>
      <c r="K10" s="8">
        <v>6</v>
      </c>
      <c r="L10" s="8">
        <v>34</v>
      </c>
      <c r="M10" s="8">
        <f t="shared" si="4"/>
        <v>40</v>
      </c>
      <c r="N10" s="7">
        <v>0</v>
      </c>
      <c r="O10" s="7">
        <v>0</v>
      </c>
      <c r="P10" s="22">
        <f t="shared" si="5"/>
        <v>0</v>
      </c>
    </row>
    <row r="11" spans="1:16">
      <c r="A11" s="21">
        <v>43</v>
      </c>
      <c r="B11" s="6" t="s">
        <v>175</v>
      </c>
      <c r="C11" s="7">
        <f>789.96-253.26-273.38</f>
        <v>263.32000000000005</v>
      </c>
      <c r="D11" s="7">
        <f>878.32+253.26+273.38</f>
        <v>1404.96</v>
      </c>
      <c r="E11" s="7">
        <v>0</v>
      </c>
      <c r="F11" s="7">
        <v>0</v>
      </c>
      <c r="G11" s="20">
        <f t="shared" si="0"/>
        <v>263.32000000000005</v>
      </c>
      <c r="H11" s="20">
        <f t="shared" si="1"/>
        <v>1404.96</v>
      </c>
      <c r="I11" s="20">
        <f t="shared" si="2"/>
        <v>1668.2800000000002</v>
      </c>
      <c r="J11" s="63">
        <f t="shared" si="3"/>
        <v>0.15783921164312947</v>
      </c>
      <c r="K11" s="8">
        <f>18-6-6</f>
        <v>6</v>
      </c>
      <c r="L11" s="8">
        <f>22+6+6</f>
        <v>34</v>
      </c>
      <c r="M11" s="8">
        <f t="shared" si="4"/>
        <v>40</v>
      </c>
      <c r="N11" s="7">
        <v>0</v>
      </c>
      <c r="O11" s="7">
        <v>0</v>
      </c>
      <c r="P11" s="22">
        <f t="shared" si="5"/>
        <v>0</v>
      </c>
    </row>
    <row r="12" spans="1:16">
      <c r="A12" s="21">
        <v>52</v>
      </c>
      <c r="B12" s="6" t="s">
        <v>47</v>
      </c>
      <c r="C12" s="7">
        <v>31.5</v>
      </c>
      <c r="D12" s="7">
        <v>167.59</v>
      </c>
      <c r="E12" s="7">
        <v>0</v>
      </c>
      <c r="F12" s="7">
        <v>0</v>
      </c>
      <c r="G12" s="20">
        <f t="shared" si="0"/>
        <v>31.5</v>
      </c>
      <c r="H12" s="20">
        <f t="shared" si="1"/>
        <v>167.59</v>
      </c>
      <c r="I12" s="20">
        <f t="shared" si="2"/>
        <v>199.09</v>
      </c>
      <c r="J12" s="63">
        <f t="shared" si="3"/>
        <v>0.15821990054749108</v>
      </c>
      <c r="K12" s="8">
        <v>1</v>
      </c>
      <c r="L12" s="8">
        <v>5</v>
      </c>
      <c r="M12" s="8">
        <f t="shared" si="4"/>
        <v>6</v>
      </c>
      <c r="N12" s="7">
        <v>0</v>
      </c>
      <c r="O12" s="7">
        <v>0</v>
      </c>
      <c r="P12" s="22">
        <f t="shared" si="5"/>
        <v>0</v>
      </c>
    </row>
    <row r="13" spans="1:16">
      <c r="A13" s="21">
        <v>68</v>
      </c>
      <c r="B13" s="6" t="s">
        <v>36</v>
      </c>
      <c r="C13" s="7">
        <f>406.39-217.85-46</f>
        <v>142.54</v>
      </c>
      <c r="D13" s="7">
        <f>439.01+217.85+46</f>
        <v>702.86</v>
      </c>
      <c r="E13" s="7">
        <v>0</v>
      </c>
      <c r="F13" s="7">
        <v>0</v>
      </c>
      <c r="G13" s="20">
        <f t="shared" si="0"/>
        <v>142.54</v>
      </c>
      <c r="H13" s="20">
        <f t="shared" si="1"/>
        <v>702.86</v>
      </c>
      <c r="I13" s="20">
        <f t="shared" si="2"/>
        <v>845.4</v>
      </c>
      <c r="J13" s="63">
        <f t="shared" si="3"/>
        <v>0.16860657676839366</v>
      </c>
      <c r="K13" s="8">
        <f>9-5-1</f>
        <v>3</v>
      </c>
      <c r="L13" s="8">
        <f>11+5+1</f>
        <v>17</v>
      </c>
      <c r="M13" s="8">
        <f t="shared" si="4"/>
        <v>20</v>
      </c>
      <c r="N13" s="7">
        <v>0</v>
      </c>
      <c r="O13" s="7">
        <v>0</v>
      </c>
      <c r="P13" s="22">
        <f t="shared" si="5"/>
        <v>0</v>
      </c>
    </row>
    <row r="14" spans="1:16">
      <c r="A14" s="21">
        <v>7</v>
      </c>
      <c r="B14" s="6" t="s">
        <v>8</v>
      </c>
      <c r="C14" s="7">
        <f>396.1-52.9-45.8</f>
        <v>297.40000000000003</v>
      </c>
      <c r="D14" s="7">
        <f>1078.3+52.9+45.8</f>
        <v>1177</v>
      </c>
      <c r="E14" s="7">
        <v>0</v>
      </c>
      <c r="F14" s="7">
        <v>256.12</v>
      </c>
      <c r="G14" s="20">
        <f t="shared" si="0"/>
        <v>297.40000000000003</v>
      </c>
      <c r="H14" s="20">
        <f t="shared" si="1"/>
        <v>1433.12</v>
      </c>
      <c r="I14" s="20">
        <f t="shared" si="2"/>
        <v>1730.52</v>
      </c>
      <c r="J14" s="63">
        <f t="shared" si="3"/>
        <v>0.1718558583547142</v>
      </c>
      <c r="K14" s="8">
        <f>9-1-1</f>
        <v>7</v>
      </c>
      <c r="L14" s="8">
        <f>25+1+1</f>
        <v>27</v>
      </c>
      <c r="M14" s="8">
        <f t="shared" si="4"/>
        <v>34</v>
      </c>
      <c r="N14" s="7">
        <v>0</v>
      </c>
      <c r="O14" s="8">
        <v>5</v>
      </c>
      <c r="P14" s="22">
        <f t="shared" si="5"/>
        <v>5</v>
      </c>
    </row>
    <row r="15" spans="1:16">
      <c r="A15" s="21">
        <v>109</v>
      </c>
      <c r="B15" s="6" t="s">
        <v>128</v>
      </c>
      <c r="C15" s="7">
        <f>386.33-50.53-36.3-47.37</f>
        <v>252.12999999999994</v>
      </c>
      <c r="D15" s="7">
        <f>796.52+50.53+36.3+47.37</f>
        <v>930.71999999999991</v>
      </c>
      <c r="E15" s="7">
        <v>0</v>
      </c>
      <c r="F15" s="7">
        <v>0</v>
      </c>
      <c r="G15" s="20">
        <f t="shared" si="0"/>
        <v>252.12999999999994</v>
      </c>
      <c r="H15" s="20">
        <f t="shared" si="1"/>
        <v>930.71999999999991</v>
      </c>
      <c r="I15" s="20">
        <f t="shared" si="2"/>
        <v>1182.8499999999999</v>
      </c>
      <c r="J15" s="63">
        <f t="shared" si="3"/>
        <v>0.21315466880838649</v>
      </c>
      <c r="K15" s="8">
        <f>19-10-1-1-1</f>
        <v>6</v>
      </c>
      <c r="L15" s="8">
        <f>7+10+1+1+1</f>
        <v>20</v>
      </c>
      <c r="M15" s="8">
        <f t="shared" si="4"/>
        <v>26</v>
      </c>
      <c r="N15" s="7">
        <v>0</v>
      </c>
      <c r="O15" s="7">
        <v>0</v>
      </c>
      <c r="P15" s="22">
        <f t="shared" si="5"/>
        <v>0</v>
      </c>
    </row>
    <row r="16" spans="1:16">
      <c r="A16" s="21">
        <v>22</v>
      </c>
      <c r="B16" s="6" t="s">
        <v>31</v>
      </c>
      <c r="C16" s="7">
        <f>585.09-345.53-39.24</f>
        <v>200.32000000000005</v>
      </c>
      <c r="D16" s="47">
        <f>282.19+345.53+39.24</f>
        <v>666.96</v>
      </c>
      <c r="E16" s="7">
        <v>0</v>
      </c>
      <c r="F16" s="7">
        <v>0</v>
      </c>
      <c r="G16" s="20">
        <f t="shared" si="0"/>
        <v>200.32000000000005</v>
      </c>
      <c r="H16" s="20">
        <f t="shared" si="1"/>
        <v>666.96</v>
      </c>
      <c r="I16" s="20">
        <f t="shared" si="2"/>
        <v>867.28000000000009</v>
      </c>
      <c r="J16" s="63">
        <f t="shared" si="3"/>
        <v>0.23097500230606036</v>
      </c>
      <c r="K16" s="8">
        <f>12-7-1</f>
        <v>4</v>
      </c>
      <c r="L16" s="8">
        <f>6+7+1</f>
        <v>14</v>
      </c>
      <c r="M16" s="8">
        <f t="shared" si="4"/>
        <v>18</v>
      </c>
      <c r="N16" s="7">
        <v>0</v>
      </c>
      <c r="O16" s="7">
        <v>0</v>
      </c>
      <c r="P16" s="22">
        <f t="shared" si="5"/>
        <v>0</v>
      </c>
    </row>
    <row r="17" spans="1:16" s="52" customFormat="1">
      <c r="A17" s="21">
        <v>89</v>
      </c>
      <c r="B17" s="6" t="s">
        <v>23</v>
      </c>
      <c r="C17" s="7">
        <v>270.5</v>
      </c>
      <c r="D17" s="7">
        <v>878.55</v>
      </c>
      <c r="E17" s="7">
        <v>0</v>
      </c>
      <c r="F17" s="7">
        <v>0</v>
      </c>
      <c r="G17" s="20">
        <f t="shared" si="0"/>
        <v>270.5</v>
      </c>
      <c r="H17" s="20">
        <f t="shared" si="1"/>
        <v>878.55</v>
      </c>
      <c r="I17" s="20">
        <f t="shared" si="2"/>
        <v>1149.05</v>
      </c>
      <c r="J17" s="63">
        <f t="shared" si="3"/>
        <v>0.23541186197293418</v>
      </c>
      <c r="K17" s="8">
        <v>6</v>
      </c>
      <c r="L17" s="8">
        <v>20</v>
      </c>
      <c r="M17" s="8">
        <f t="shared" si="4"/>
        <v>26</v>
      </c>
      <c r="N17" s="7">
        <v>0</v>
      </c>
      <c r="O17" s="7">
        <v>0</v>
      </c>
      <c r="P17" s="22">
        <f t="shared" si="5"/>
        <v>0</v>
      </c>
    </row>
    <row r="18" spans="1:16">
      <c r="A18" s="21">
        <v>51</v>
      </c>
      <c r="B18" s="6" t="s">
        <v>46</v>
      </c>
      <c r="C18" s="7">
        <v>65</v>
      </c>
      <c r="D18" s="7">
        <v>196.5</v>
      </c>
      <c r="E18" s="7">
        <v>0</v>
      </c>
      <c r="F18" s="7">
        <v>0</v>
      </c>
      <c r="G18" s="20">
        <f t="shared" si="0"/>
        <v>65</v>
      </c>
      <c r="H18" s="20">
        <f t="shared" si="1"/>
        <v>196.5</v>
      </c>
      <c r="I18" s="20">
        <f t="shared" si="2"/>
        <v>261.5</v>
      </c>
      <c r="J18" s="63">
        <f t="shared" si="3"/>
        <v>0.24856596558317401</v>
      </c>
      <c r="K18" s="8">
        <v>3</v>
      </c>
      <c r="L18" s="8">
        <v>5</v>
      </c>
      <c r="M18" s="8">
        <f t="shared" si="4"/>
        <v>8</v>
      </c>
      <c r="N18" s="7">
        <v>0</v>
      </c>
      <c r="O18" s="7">
        <v>0</v>
      </c>
      <c r="P18" s="22">
        <f t="shared" si="5"/>
        <v>0</v>
      </c>
    </row>
    <row r="19" spans="1:16">
      <c r="A19" s="21">
        <v>72</v>
      </c>
      <c r="B19" s="6" t="s">
        <v>40</v>
      </c>
      <c r="C19" s="7">
        <f>431.98-35.28-48.14-50.26</f>
        <v>298.30000000000007</v>
      </c>
      <c r="D19" s="7">
        <f>760.22+35.28+48.14+50.26</f>
        <v>893.9</v>
      </c>
      <c r="E19" s="7">
        <v>0</v>
      </c>
      <c r="F19" s="7">
        <v>0</v>
      </c>
      <c r="G19" s="20">
        <f t="shared" si="0"/>
        <v>298.30000000000007</v>
      </c>
      <c r="H19" s="20">
        <f t="shared" si="1"/>
        <v>893.9</v>
      </c>
      <c r="I19" s="20">
        <f t="shared" si="2"/>
        <v>1192.2</v>
      </c>
      <c r="J19" s="63">
        <f t="shared" si="3"/>
        <v>0.25020969635967122</v>
      </c>
      <c r="K19" s="8">
        <f>10-1-1-1</f>
        <v>7</v>
      </c>
      <c r="L19" s="8">
        <f>17+1+1+1</f>
        <v>20</v>
      </c>
      <c r="M19" s="8">
        <f t="shared" si="4"/>
        <v>27</v>
      </c>
      <c r="N19" s="7">
        <v>0</v>
      </c>
      <c r="O19" s="7">
        <v>0</v>
      </c>
      <c r="P19" s="22">
        <f t="shared" si="5"/>
        <v>0</v>
      </c>
    </row>
    <row r="20" spans="1:16">
      <c r="A20" s="21">
        <v>65</v>
      </c>
      <c r="B20" s="6" t="s">
        <v>33</v>
      </c>
      <c r="C20" s="7">
        <f>755.28-248.73-43.5-35.92-45.73-45.75-47.21</f>
        <v>288.43999999999994</v>
      </c>
      <c r="D20" s="7">
        <f>374.51+248.73+43.5+35.92+45.73+45.75+47.21</f>
        <v>841.35</v>
      </c>
      <c r="E20" s="7">
        <v>0</v>
      </c>
      <c r="F20" s="7">
        <v>0</v>
      </c>
      <c r="G20" s="20">
        <f t="shared" si="0"/>
        <v>288.43999999999994</v>
      </c>
      <c r="H20" s="20">
        <f t="shared" si="1"/>
        <v>841.35</v>
      </c>
      <c r="I20" s="20">
        <f t="shared" si="2"/>
        <v>1129.79</v>
      </c>
      <c r="J20" s="63">
        <f t="shared" si="3"/>
        <v>0.25530408305968361</v>
      </c>
      <c r="K20" s="8">
        <f>18-7-2-2-2</f>
        <v>5</v>
      </c>
      <c r="L20" s="8">
        <f>8+7+2+2+2</f>
        <v>21</v>
      </c>
      <c r="M20" s="8">
        <f t="shared" si="4"/>
        <v>26</v>
      </c>
      <c r="N20" s="7">
        <v>0</v>
      </c>
      <c r="O20" s="7">
        <v>0</v>
      </c>
      <c r="P20" s="22">
        <f t="shared" si="5"/>
        <v>0</v>
      </c>
    </row>
    <row r="21" spans="1:16">
      <c r="A21" s="21">
        <v>105</v>
      </c>
      <c r="B21" s="6" t="s">
        <v>99</v>
      </c>
      <c r="C21" s="7">
        <f>120.65+5.07-57.49</f>
        <v>68.22999999999999</v>
      </c>
      <c r="D21" s="7">
        <f>140.28+57.49</f>
        <v>197.77</v>
      </c>
      <c r="E21" s="7">
        <v>0</v>
      </c>
      <c r="F21" s="7">
        <v>0</v>
      </c>
      <c r="G21" s="20">
        <f t="shared" si="0"/>
        <v>68.22999999999999</v>
      </c>
      <c r="H21" s="20">
        <f t="shared" si="1"/>
        <v>197.77</v>
      </c>
      <c r="I21" s="20">
        <f t="shared" si="2"/>
        <v>266</v>
      </c>
      <c r="J21" s="63">
        <f t="shared" si="3"/>
        <v>0.25650375939849618</v>
      </c>
      <c r="K21" s="8">
        <f>3-1</f>
        <v>2</v>
      </c>
      <c r="L21" s="8">
        <f>4+1</f>
        <v>5</v>
      </c>
      <c r="M21" s="8">
        <f t="shared" si="4"/>
        <v>7</v>
      </c>
      <c r="N21" s="7">
        <v>0</v>
      </c>
      <c r="O21" s="7">
        <v>0</v>
      </c>
      <c r="P21" s="22">
        <f t="shared" si="5"/>
        <v>0</v>
      </c>
    </row>
    <row r="22" spans="1:16">
      <c r="A22" s="21">
        <v>87</v>
      </c>
      <c r="B22" s="6" t="s">
        <v>30</v>
      </c>
      <c r="C22" s="7">
        <f>249.6-36.96-50.47-35.65-45.33</f>
        <v>81.189999999999984</v>
      </c>
      <c r="D22" s="7">
        <f>418.58+36.96+50.47+35.65+45.33</f>
        <v>586.99</v>
      </c>
      <c r="E22" s="7">
        <v>121.7</v>
      </c>
      <c r="F22" s="7">
        <v>0</v>
      </c>
      <c r="G22" s="20">
        <f t="shared" si="0"/>
        <v>202.89</v>
      </c>
      <c r="H22" s="20">
        <f t="shared" si="1"/>
        <v>586.99</v>
      </c>
      <c r="I22" s="20">
        <f t="shared" si="2"/>
        <v>789.88</v>
      </c>
      <c r="J22" s="63">
        <f t="shared" si="3"/>
        <v>0.25686180179267737</v>
      </c>
      <c r="K22" s="8">
        <f>6-1-1-1-1</f>
        <v>2</v>
      </c>
      <c r="L22" s="8">
        <f>10+1+1+1+1</f>
        <v>14</v>
      </c>
      <c r="M22" s="8">
        <f t="shared" si="4"/>
        <v>16</v>
      </c>
      <c r="N22" s="8">
        <v>2</v>
      </c>
      <c r="O22" s="7">
        <v>0</v>
      </c>
      <c r="P22" s="22">
        <f t="shared" si="5"/>
        <v>2</v>
      </c>
    </row>
    <row r="23" spans="1:16">
      <c r="A23" s="21">
        <v>42</v>
      </c>
      <c r="B23" s="6" t="s">
        <v>174</v>
      </c>
      <c r="C23" s="7">
        <f>506.65-46.04</f>
        <v>460.60999999999996</v>
      </c>
      <c r="D23" s="7">
        <f>1131.93+46.04</f>
        <v>1177.97</v>
      </c>
      <c r="E23" s="7">
        <v>0</v>
      </c>
      <c r="F23" s="7">
        <v>0</v>
      </c>
      <c r="G23" s="20">
        <f t="shared" si="0"/>
        <v>460.60999999999996</v>
      </c>
      <c r="H23" s="20">
        <f t="shared" si="1"/>
        <v>1177.97</v>
      </c>
      <c r="I23" s="20">
        <f t="shared" si="2"/>
        <v>1638.58</v>
      </c>
      <c r="J23" s="63">
        <f t="shared" si="3"/>
        <v>0.28110315028866456</v>
      </c>
      <c r="K23" s="8">
        <f>26-13-1</f>
        <v>12</v>
      </c>
      <c r="L23" s="8">
        <f>14+13+1</f>
        <v>28</v>
      </c>
      <c r="M23" s="8">
        <f t="shared" si="4"/>
        <v>40</v>
      </c>
      <c r="N23" s="7">
        <v>0</v>
      </c>
      <c r="O23" s="7">
        <v>0</v>
      </c>
      <c r="P23" s="22">
        <f t="shared" si="5"/>
        <v>0</v>
      </c>
    </row>
    <row r="24" spans="1:16">
      <c r="A24" s="21">
        <v>116</v>
      </c>
      <c r="B24" s="6" t="s">
        <v>11</v>
      </c>
      <c r="C24" s="7">
        <f>518.84-44.29</f>
        <v>474.55</v>
      </c>
      <c r="D24" s="7">
        <f>1125.77+44.29</f>
        <v>1170.06</v>
      </c>
      <c r="E24" s="7">
        <v>0</v>
      </c>
      <c r="F24" s="7">
        <v>0</v>
      </c>
      <c r="G24" s="20">
        <f t="shared" si="0"/>
        <v>474.55</v>
      </c>
      <c r="H24" s="20">
        <f t="shared" si="1"/>
        <v>1170.06</v>
      </c>
      <c r="I24" s="20">
        <f t="shared" si="2"/>
        <v>1644.61</v>
      </c>
      <c r="J24" s="63">
        <f t="shared" si="3"/>
        <v>0.28854865287210951</v>
      </c>
      <c r="K24" s="8">
        <f>13-1</f>
        <v>12</v>
      </c>
      <c r="L24" s="8">
        <f>27+1</f>
        <v>28</v>
      </c>
      <c r="M24" s="8">
        <f t="shared" si="4"/>
        <v>40</v>
      </c>
      <c r="N24" s="7">
        <v>0</v>
      </c>
      <c r="O24" s="7">
        <v>0</v>
      </c>
      <c r="P24" s="22">
        <f t="shared" si="5"/>
        <v>0</v>
      </c>
    </row>
    <row r="25" spans="1:16">
      <c r="A25" s="21">
        <v>99</v>
      </c>
      <c r="B25" s="6" t="s">
        <v>25</v>
      </c>
      <c r="C25" s="7">
        <f>605.3-227.5-28.6</f>
        <v>349.19999999999993</v>
      </c>
      <c r="D25" s="7">
        <f>581.1+227.5+28.6</f>
        <v>837.2</v>
      </c>
      <c r="E25" s="7">
        <v>0</v>
      </c>
      <c r="F25" s="7">
        <v>0</v>
      </c>
      <c r="G25" s="20">
        <f t="shared" si="0"/>
        <v>349.19999999999993</v>
      </c>
      <c r="H25" s="20">
        <f t="shared" si="1"/>
        <v>837.2</v>
      </c>
      <c r="I25" s="20">
        <f t="shared" si="2"/>
        <v>1186.4000000000001</v>
      </c>
      <c r="J25" s="63">
        <f t="shared" si="3"/>
        <v>0.29433580579905588</v>
      </c>
      <c r="K25" s="8">
        <f>15-5-1</f>
        <v>9</v>
      </c>
      <c r="L25" s="8">
        <f>15+5+1</f>
        <v>21</v>
      </c>
      <c r="M25" s="8">
        <f t="shared" si="4"/>
        <v>30</v>
      </c>
      <c r="N25" s="7">
        <v>0</v>
      </c>
      <c r="O25" s="7">
        <v>0</v>
      </c>
      <c r="P25" s="22">
        <f t="shared" si="5"/>
        <v>0</v>
      </c>
    </row>
    <row r="26" spans="1:16">
      <c r="A26" s="73">
        <v>6</v>
      </c>
      <c r="B26" s="13" t="s">
        <v>7</v>
      </c>
      <c r="C26" s="7">
        <f>519.1-53.8</f>
        <v>465.3</v>
      </c>
      <c r="D26" s="7">
        <f>771.75+53.8</f>
        <v>825.55</v>
      </c>
      <c r="E26" s="7">
        <v>0</v>
      </c>
      <c r="F26" s="7">
        <v>272.8</v>
      </c>
      <c r="G26" s="71">
        <f t="shared" si="0"/>
        <v>465.3</v>
      </c>
      <c r="H26" s="71">
        <f t="shared" si="1"/>
        <v>1098.3499999999999</v>
      </c>
      <c r="I26" s="71">
        <f t="shared" si="2"/>
        <v>1563.6499999999999</v>
      </c>
      <c r="J26" s="72">
        <f t="shared" si="3"/>
        <v>0.29757298628209639</v>
      </c>
      <c r="K26" s="8">
        <f>13-1</f>
        <v>12</v>
      </c>
      <c r="L26" s="8">
        <f>18+1</f>
        <v>19</v>
      </c>
      <c r="M26" s="13">
        <f t="shared" si="4"/>
        <v>31</v>
      </c>
      <c r="N26" s="7">
        <v>0</v>
      </c>
      <c r="O26" s="8">
        <v>4</v>
      </c>
      <c r="P26" s="70">
        <f t="shared" si="5"/>
        <v>4</v>
      </c>
    </row>
    <row r="27" spans="1:16">
      <c r="A27" s="21">
        <v>28</v>
      </c>
      <c r="B27" s="6" t="s">
        <v>70</v>
      </c>
      <c r="C27" s="7">
        <f>106.57-42.52</f>
        <v>64.049999999999983</v>
      </c>
      <c r="D27" s="7">
        <f>106.66+42.52</f>
        <v>149.18</v>
      </c>
      <c r="E27" s="7">
        <v>0</v>
      </c>
      <c r="F27" s="7">
        <v>0</v>
      </c>
      <c r="G27" s="20">
        <f t="shared" si="0"/>
        <v>64.049999999999983</v>
      </c>
      <c r="H27" s="20">
        <f t="shared" si="1"/>
        <v>149.18</v>
      </c>
      <c r="I27" s="20">
        <f t="shared" si="2"/>
        <v>213.23</v>
      </c>
      <c r="J27" s="63">
        <f t="shared" si="3"/>
        <v>0.30037987150025786</v>
      </c>
      <c r="K27" s="8">
        <f>3-1</f>
        <v>2</v>
      </c>
      <c r="L27" s="8">
        <f>3+1</f>
        <v>4</v>
      </c>
      <c r="M27" s="8">
        <f t="shared" si="4"/>
        <v>6</v>
      </c>
      <c r="N27" s="7">
        <v>0</v>
      </c>
      <c r="O27" s="7">
        <v>0</v>
      </c>
      <c r="P27" s="22">
        <f t="shared" si="5"/>
        <v>0</v>
      </c>
    </row>
    <row r="28" spans="1:16">
      <c r="A28" s="21">
        <v>94</v>
      </c>
      <c r="B28" s="6" t="s">
        <v>86</v>
      </c>
      <c r="C28" s="7">
        <f>143.6-38.38</f>
        <v>105.22</v>
      </c>
      <c r="D28" s="7">
        <f>206.28+38.38</f>
        <v>244.66</v>
      </c>
      <c r="E28" s="7">
        <v>0</v>
      </c>
      <c r="F28" s="7">
        <v>0</v>
      </c>
      <c r="G28" s="20">
        <f t="shared" si="0"/>
        <v>105.22</v>
      </c>
      <c r="H28" s="20">
        <f t="shared" si="1"/>
        <v>244.66</v>
      </c>
      <c r="I28" s="20">
        <f t="shared" si="2"/>
        <v>349.88</v>
      </c>
      <c r="J28" s="63">
        <f t="shared" si="3"/>
        <v>0.30073167943294843</v>
      </c>
      <c r="K28" s="8">
        <f>7-1</f>
        <v>6</v>
      </c>
      <c r="L28" s="8">
        <f>8+1</f>
        <v>9</v>
      </c>
      <c r="M28" s="8">
        <f t="shared" si="4"/>
        <v>15</v>
      </c>
      <c r="N28" s="7">
        <v>0</v>
      </c>
      <c r="O28" s="7">
        <v>0</v>
      </c>
      <c r="P28" s="22">
        <f t="shared" si="5"/>
        <v>0</v>
      </c>
    </row>
    <row r="29" spans="1:16">
      <c r="A29" s="21">
        <v>49</v>
      </c>
      <c r="B29" s="6" t="s">
        <v>44</v>
      </c>
      <c r="C29" s="7">
        <f>94.5-31.5</f>
        <v>63</v>
      </c>
      <c r="D29" s="7">
        <f>112.5+31.5</f>
        <v>144</v>
      </c>
      <c r="E29" s="7">
        <v>0</v>
      </c>
      <c r="F29" s="7">
        <v>0</v>
      </c>
      <c r="G29" s="20">
        <f t="shared" si="0"/>
        <v>63</v>
      </c>
      <c r="H29" s="20">
        <f t="shared" si="1"/>
        <v>144</v>
      </c>
      <c r="I29" s="20">
        <f t="shared" si="2"/>
        <v>207</v>
      </c>
      <c r="J29" s="63">
        <f t="shared" si="3"/>
        <v>0.30434782608695654</v>
      </c>
      <c r="K29" s="8">
        <f>3-1</f>
        <v>2</v>
      </c>
      <c r="L29" s="8">
        <f>3+1</f>
        <v>4</v>
      </c>
      <c r="M29" s="8">
        <f t="shared" si="4"/>
        <v>6</v>
      </c>
      <c r="N29" s="7">
        <v>0</v>
      </c>
      <c r="O29" s="7">
        <v>0</v>
      </c>
      <c r="P29" s="22">
        <f t="shared" si="5"/>
        <v>0</v>
      </c>
    </row>
    <row r="30" spans="1:16">
      <c r="A30" s="21">
        <v>66</v>
      </c>
      <c r="B30" s="6" t="s">
        <v>34</v>
      </c>
      <c r="C30" s="7">
        <f>371.41-49.53-54.4</f>
        <v>267.48</v>
      </c>
      <c r="D30" s="7">
        <f>483.2+49.53+54.4</f>
        <v>587.13</v>
      </c>
      <c r="E30" s="7">
        <v>0</v>
      </c>
      <c r="F30" s="7">
        <v>0</v>
      </c>
      <c r="G30" s="20">
        <f t="shared" si="0"/>
        <v>267.48</v>
      </c>
      <c r="H30" s="20">
        <f t="shared" si="1"/>
        <v>587.13</v>
      </c>
      <c r="I30" s="20">
        <f t="shared" si="2"/>
        <v>854.61</v>
      </c>
      <c r="J30" s="63">
        <f t="shared" si="3"/>
        <v>0.31298487029171201</v>
      </c>
      <c r="K30" s="8">
        <f>8-2</f>
        <v>6</v>
      </c>
      <c r="L30" s="8">
        <f>10+2</f>
        <v>12</v>
      </c>
      <c r="M30" s="8">
        <f t="shared" si="4"/>
        <v>18</v>
      </c>
      <c r="N30" s="7">
        <v>0</v>
      </c>
      <c r="O30" s="7">
        <v>0</v>
      </c>
      <c r="P30" s="22">
        <f t="shared" si="5"/>
        <v>0</v>
      </c>
    </row>
    <row r="31" spans="1:16">
      <c r="A31" s="21">
        <v>64</v>
      </c>
      <c r="B31" s="6" t="s">
        <v>32</v>
      </c>
      <c r="C31" s="7">
        <f>468.81-57.06-45.75</f>
        <v>366</v>
      </c>
      <c r="D31" s="7">
        <f>670.2+57.06+45.75</f>
        <v>773.01</v>
      </c>
      <c r="E31" s="7">
        <v>0</v>
      </c>
      <c r="F31" s="7">
        <v>0</v>
      </c>
      <c r="G31" s="20">
        <f t="shared" si="0"/>
        <v>366</v>
      </c>
      <c r="H31" s="20">
        <f t="shared" si="1"/>
        <v>773.01</v>
      </c>
      <c r="I31" s="20">
        <f t="shared" si="2"/>
        <v>1139.01</v>
      </c>
      <c r="J31" s="63">
        <f t="shared" si="3"/>
        <v>0.32133168277714858</v>
      </c>
      <c r="K31" s="8">
        <f>11-1-1</f>
        <v>9</v>
      </c>
      <c r="L31" s="8">
        <f>15+1+1</f>
        <v>17</v>
      </c>
      <c r="M31" s="8">
        <f t="shared" si="4"/>
        <v>26</v>
      </c>
      <c r="N31" s="7">
        <v>0</v>
      </c>
      <c r="O31" s="7">
        <v>0</v>
      </c>
      <c r="P31" s="22">
        <f t="shared" si="5"/>
        <v>0</v>
      </c>
    </row>
    <row r="32" spans="1:16">
      <c r="A32" s="21">
        <v>106</v>
      </c>
      <c r="B32" s="6" t="s">
        <v>5</v>
      </c>
      <c r="C32" s="7">
        <f>1107.79-212.46-37.01-37.01-111.03</f>
        <v>710.28</v>
      </c>
      <c r="D32" s="7">
        <f>1078.06+212.46+37.01+37.01+111.03</f>
        <v>1475.57</v>
      </c>
      <c r="E32" s="7">
        <v>0</v>
      </c>
      <c r="F32" s="7">
        <v>0</v>
      </c>
      <c r="G32" s="20">
        <f t="shared" si="0"/>
        <v>710.28</v>
      </c>
      <c r="H32" s="20">
        <f t="shared" si="1"/>
        <v>1475.57</v>
      </c>
      <c r="I32" s="20">
        <f t="shared" si="2"/>
        <v>2185.85</v>
      </c>
      <c r="J32" s="63">
        <f t="shared" si="3"/>
        <v>0.3249445295880321</v>
      </c>
      <c r="K32" s="8">
        <f>32-6-1-1-3</f>
        <v>21</v>
      </c>
      <c r="L32" s="8">
        <f>33+6+1+1+3</f>
        <v>44</v>
      </c>
      <c r="M32" s="8">
        <f t="shared" si="4"/>
        <v>65</v>
      </c>
      <c r="N32" s="7">
        <v>0</v>
      </c>
      <c r="O32" s="7">
        <v>0</v>
      </c>
      <c r="P32" s="22">
        <f t="shared" si="5"/>
        <v>0</v>
      </c>
    </row>
    <row r="33" spans="1:16">
      <c r="A33" s="21">
        <v>114</v>
      </c>
      <c r="B33" s="6" t="s">
        <v>109</v>
      </c>
      <c r="C33" s="7">
        <f>172.55-34.79</f>
        <v>137.76000000000002</v>
      </c>
      <c r="D33" s="7">
        <f>238.21+34.79</f>
        <v>273</v>
      </c>
      <c r="E33" s="7">
        <v>0</v>
      </c>
      <c r="F33" s="7">
        <v>0</v>
      </c>
      <c r="G33" s="20">
        <f t="shared" si="0"/>
        <v>137.76000000000002</v>
      </c>
      <c r="H33" s="20">
        <f t="shared" si="1"/>
        <v>273</v>
      </c>
      <c r="I33" s="20">
        <f t="shared" si="2"/>
        <v>410.76</v>
      </c>
      <c r="J33" s="63">
        <f t="shared" si="3"/>
        <v>0.3353783231083845</v>
      </c>
      <c r="K33" s="8">
        <f>6-1</f>
        <v>5</v>
      </c>
      <c r="L33" s="8">
        <f>6+1</f>
        <v>7</v>
      </c>
      <c r="M33" s="8">
        <f t="shared" si="4"/>
        <v>12</v>
      </c>
      <c r="N33" s="7">
        <v>0</v>
      </c>
      <c r="O33" s="7">
        <v>0</v>
      </c>
      <c r="P33" s="22">
        <f t="shared" si="5"/>
        <v>0</v>
      </c>
    </row>
    <row r="34" spans="1:16">
      <c r="A34" s="21">
        <v>23</v>
      </c>
      <c r="B34" s="6" t="s">
        <v>66</v>
      </c>
      <c r="C34" s="7">
        <v>51.2</v>
      </c>
      <c r="D34" s="7">
        <v>97.56</v>
      </c>
      <c r="E34" s="7">
        <v>0</v>
      </c>
      <c r="F34" s="7">
        <v>0</v>
      </c>
      <c r="G34" s="20">
        <f t="shared" ref="G34:G65" si="6">C34+E34</f>
        <v>51.2</v>
      </c>
      <c r="H34" s="20">
        <f t="shared" ref="H34:H65" si="7">D34+F34</f>
        <v>97.56</v>
      </c>
      <c r="I34" s="20">
        <f t="shared" ref="I34:I65" si="8">C34+D34+E34+F34</f>
        <v>148.76</v>
      </c>
      <c r="J34" s="63">
        <f t="shared" ref="J34:J65" si="9">G34/I34</f>
        <v>0.34417854261898362</v>
      </c>
      <c r="K34" s="8">
        <v>2</v>
      </c>
      <c r="L34" s="8">
        <v>3</v>
      </c>
      <c r="M34" s="8">
        <f t="shared" si="4"/>
        <v>5</v>
      </c>
      <c r="N34" s="7">
        <v>0</v>
      </c>
      <c r="O34" s="7">
        <v>0</v>
      </c>
      <c r="P34" s="22">
        <f t="shared" ref="P34:P65" si="10">SUM(N34:O34)</f>
        <v>0</v>
      </c>
    </row>
    <row r="35" spans="1:16">
      <c r="A35" s="21">
        <v>113</v>
      </c>
      <c r="B35" s="6" t="s">
        <v>4</v>
      </c>
      <c r="C35" s="7">
        <v>668.49</v>
      </c>
      <c r="D35" s="7">
        <v>1227.58</v>
      </c>
      <c r="E35" s="7">
        <v>0</v>
      </c>
      <c r="F35" s="7">
        <v>0</v>
      </c>
      <c r="G35" s="20">
        <f t="shared" si="6"/>
        <v>668.49</v>
      </c>
      <c r="H35" s="20">
        <f t="shared" si="7"/>
        <v>1227.58</v>
      </c>
      <c r="I35" s="20">
        <f t="shared" si="8"/>
        <v>1896.07</v>
      </c>
      <c r="J35" s="63">
        <f t="shared" si="9"/>
        <v>0.35256609724324528</v>
      </c>
      <c r="K35" s="8">
        <v>16</v>
      </c>
      <c r="L35" s="8">
        <v>29</v>
      </c>
      <c r="M35" s="8">
        <f t="shared" si="4"/>
        <v>45</v>
      </c>
      <c r="N35" s="7">
        <v>0</v>
      </c>
      <c r="O35" s="7">
        <v>0</v>
      </c>
      <c r="P35" s="22">
        <f t="shared" si="10"/>
        <v>0</v>
      </c>
    </row>
    <row r="36" spans="1:16">
      <c r="A36" s="21">
        <v>70</v>
      </c>
      <c r="B36" s="6" t="s">
        <v>38</v>
      </c>
      <c r="C36" s="7">
        <f>433.62-38.57-55.15-37.25</f>
        <v>302.65000000000003</v>
      </c>
      <c r="D36" s="7">
        <f>424.01+38.57+55.15+37.25</f>
        <v>554.98</v>
      </c>
      <c r="E36" s="7">
        <v>0</v>
      </c>
      <c r="F36" s="7">
        <v>0</v>
      </c>
      <c r="G36" s="20">
        <f t="shared" si="6"/>
        <v>302.65000000000003</v>
      </c>
      <c r="H36" s="20">
        <f t="shared" si="7"/>
        <v>554.98</v>
      </c>
      <c r="I36" s="20">
        <f t="shared" si="8"/>
        <v>857.63000000000011</v>
      </c>
      <c r="J36" s="63">
        <f t="shared" si="9"/>
        <v>0.35289110688758557</v>
      </c>
      <c r="K36" s="8">
        <f>9-1-1-1</f>
        <v>6</v>
      </c>
      <c r="L36" s="8">
        <f>9+1+1+1</f>
        <v>12</v>
      </c>
      <c r="M36" s="8">
        <f t="shared" si="4"/>
        <v>18</v>
      </c>
      <c r="N36" s="7">
        <v>0</v>
      </c>
      <c r="O36" s="7">
        <v>0</v>
      </c>
      <c r="P36" s="22">
        <f t="shared" si="10"/>
        <v>0</v>
      </c>
    </row>
    <row r="37" spans="1:16">
      <c r="A37" s="21">
        <v>50</v>
      </c>
      <c r="B37" s="6" t="s">
        <v>45</v>
      </c>
      <c r="C37" s="7">
        <f>106.4-31.5</f>
        <v>74.900000000000006</v>
      </c>
      <c r="D37" s="7">
        <f>105.37+31.5</f>
        <v>136.87</v>
      </c>
      <c r="E37" s="7">
        <v>0</v>
      </c>
      <c r="F37" s="7">
        <v>0</v>
      </c>
      <c r="G37" s="20">
        <f t="shared" si="6"/>
        <v>74.900000000000006</v>
      </c>
      <c r="H37" s="20">
        <f t="shared" si="7"/>
        <v>136.87</v>
      </c>
      <c r="I37" s="20">
        <f t="shared" si="8"/>
        <v>211.77</v>
      </c>
      <c r="J37" s="63">
        <f t="shared" si="9"/>
        <v>0.35368560230438684</v>
      </c>
      <c r="K37" s="8">
        <v>2</v>
      </c>
      <c r="L37" s="8">
        <v>4</v>
      </c>
      <c r="M37" s="8">
        <f t="shared" si="4"/>
        <v>6</v>
      </c>
      <c r="N37" s="7">
        <v>0</v>
      </c>
      <c r="O37" s="7">
        <v>0</v>
      </c>
      <c r="P37" s="22">
        <f t="shared" si="10"/>
        <v>0</v>
      </c>
    </row>
    <row r="38" spans="1:16">
      <c r="A38" s="21">
        <v>25</v>
      </c>
      <c r="B38" s="6" t="s">
        <v>67</v>
      </c>
      <c r="C38" s="7">
        <f>107.59+3.48-32.53</f>
        <v>78.540000000000006</v>
      </c>
      <c r="D38" s="7">
        <f>107.37+32.53</f>
        <v>139.9</v>
      </c>
      <c r="E38" s="7">
        <v>0</v>
      </c>
      <c r="F38" s="7">
        <v>0</v>
      </c>
      <c r="G38" s="20">
        <f t="shared" si="6"/>
        <v>78.540000000000006</v>
      </c>
      <c r="H38" s="20">
        <f t="shared" si="7"/>
        <v>139.9</v>
      </c>
      <c r="I38" s="20">
        <f t="shared" si="8"/>
        <v>218.44</v>
      </c>
      <c r="J38" s="63">
        <f t="shared" si="9"/>
        <v>0.35954953305255449</v>
      </c>
      <c r="K38" s="8">
        <f>3-1</f>
        <v>2</v>
      </c>
      <c r="L38" s="8">
        <f>3+1</f>
        <v>4</v>
      </c>
      <c r="M38" s="8">
        <f t="shared" si="4"/>
        <v>6</v>
      </c>
      <c r="N38" s="7">
        <v>0</v>
      </c>
      <c r="O38" s="7">
        <v>0</v>
      </c>
      <c r="P38" s="22">
        <f t="shared" si="10"/>
        <v>0</v>
      </c>
    </row>
    <row r="39" spans="1:16">
      <c r="A39" s="21">
        <v>71</v>
      </c>
      <c r="B39" s="6" t="s">
        <v>39</v>
      </c>
      <c r="C39" s="7">
        <f>782.29-44.4-58-54.8-35</f>
        <v>590.09</v>
      </c>
      <c r="D39" s="7">
        <f>815.11+44.4+58+54.8+35</f>
        <v>1007.31</v>
      </c>
      <c r="E39" s="7">
        <v>0</v>
      </c>
      <c r="F39" s="7">
        <v>0</v>
      </c>
      <c r="G39" s="20">
        <f t="shared" si="6"/>
        <v>590.09</v>
      </c>
      <c r="H39" s="20">
        <f t="shared" si="7"/>
        <v>1007.31</v>
      </c>
      <c r="I39" s="20">
        <f t="shared" si="8"/>
        <v>1597.4</v>
      </c>
      <c r="J39" s="63">
        <f t="shared" si="9"/>
        <v>0.36940653562038311</v>
      </c>
      <c r="K39" s="8">
        <f>17-1-1-1-1</f>
        <v>13</v>
      </c>
      <c r="L39" s="8">
        <f>19+1+1+1+1</f>
        <v>23</v>
      </c>
      <c r="M39" s="8">
        <f t="shared" si="4"/>
        <v>36</v>
      </c>
      <c r="N39" s="7">
        <v>0</v>
      </c>
      <c r="O39" s="7">
        <v>0</v>
      </c>
      <c r="P39" s="22">
        <f t="shared" si="10"/>
        <v>0</v>
      </c>
    </row>
    <row r="40" spans="1:16">
      <c r="A40" s="21">
        <v>93</v>
      </c>
      <c r="B40" s="6" t="s">
        <v>80</v>
      </c>
      <c r="C40" s="7">
        <v>113.44</v>
      </c>
      <c r="D40" s="7">
        <v>192.38</v>
      </c>
      <c r="E40" s="7">
        <v>0</v>
      </c>
      <c r="F40" s="7">
        <v>0</v>
      </c>
      <c r="G40" s="20">
        <f t="shared" si="6"/>
        <v>113.44</v>
      </c>
      <c r="H40" s="20">
        <f t="shared" si="7"/>
        <v>192.38</v>
      </c>
      <c r="I40" s="20">
        <f t="shared" si="8"/>
        <v>305.82</v>
      </c>
      <c r="J40" s="63">
        <f t="shared" si="9"/>
        <v>0.3709371525734092</v>
      </c>
      <c r="K40" s="8">
        <v>5</v>
      </c>
      <c r="L40" s="8">
        <v>6</v>
      </c>
      <c r="M40" s="8">
        <f t="shared" si="4"/>
        <v>11</v>
      </c>
      <c r="N40" s="7">
        <v>0</v>
      </c>
      <c r="O40" s="7">
        <v>0</v>
      </c>
      <c r="P40" s="22">
        <f t="shared" si="10"/>
        <v>0</v>
      </c>
    </row>
    <row r="41" spans="1:16">
      <c r="A41" s="21">
        <v>53</v>
      </c>
      <c r="B41" s="6" t="s">
        <v>48</v>
      </c>
      <c r="C41" s="7">
        <v>96.73</v>
      </c>
      <c r="D41" s="7">
        <v>163.1</v>
      </c>
      <c r="E41" s="7">
        <v>0</v>
      </c>
      <c r="F41" s="7">
        <v>0</v>
      </c>
      <c r="G41" s="20">
        <f t="shared" si="6"/>
        <v>96.73</v>
      </c>
      <c r="H41" s="20">
        <f t="shared" si="7"/>
        <v>163.1</v>
      </c>
      <c r="I41" s="20">
        <f t="shared" si="8"/>
        <v>259.83</v>
      </c>
      <c r="J41" s="63">
        <f t="shared" si="9"/>
        <v>0.3722818766116307</v>
      </c>
      <c r="K41" s="8">
        <v>4</v>
      </c>
      <c r="L41" s="8">
        <v>5</v>
      </c>
      <c r="M41" s="8">
        <f t="shared" si="4"/>
        <v>9</v>
      </c>
      <c r="N41" s="7">
        <v>0</v>
      </c>
      <c r="O41" s="7">
        <v>0</v>
      </c>
      <c r="P41" s="22">
        <f t="shared" si="10"/>
        <v>0</v>
      </c>
    </row>
    <row r="42" spans="1:16">
      <c r="A42" s="21">
        <v>86</v>
      </c>
      <c r="B42" s="6" t="s">
        <v>29</v>
      </c>
      <c r="C42" s="7">
        <f>330.93-36.48</f>
        <v>294.45</v>
      </c>
      <c r="D42" s="7">
        <f>458.05+36.48</f>
        <v>494.53000000000003</v>
      </c>
      <c r="E42" s="7">
        <v>0</v>
      </c>
      <c r="F42" s="7">
        <v>0</v>
      </c>
      <c r="G42" s="20">
        <f t="shared" si="6"/>
        <v>294.45</v>
      </c>
      <c r="H42" s="20">
        <f t="shared" si="7"/>
        <v>494.53000000000003</v>
      </c>
      <c r="I42" s="20">
        <f t="shared" si="8"/>
        <v>788.98</v>
      </c>
      <c r="J42" s="63">
        <f t="shared" si="9"/>
        <v>0.37320337651144514</v>
      </c>
      <c r="K42" s="8">
        <f>8-1</f>
        <v>7</v>
      </c>
      <c r="L42" s="8">
        <f>10+1</f>
        <v>11</v>
      </c>
      <c r="M42" s="8">
        <f t="shared" si="4"/>
        <v>18</v>
      </c>
      <c r="N42" s="7">
        <v>0</v>
      </c>
      <c r="O42" s="7">
        <v>0</v>
      </c>
      <c r="P42" s="22">
        <f t="shared" si="10"/>
        <v>0</v>
      </c>
    </row>
    <row r="43" spans="1:16">
      <c r="A43" s="21">
        <v>2</v>
      </c>
      <c r="B43" s="6" t="s">
        <v>57</v>
      </c>
      <c r="C43" s="7">
        <v>120.32</v>
      </c>
      <c r="D43" s="7">
        <v>200.98</v>
      </c>
      <c r="E43" s="7">
        <v>0</v>
      </c>
      <c r="F43" s="7">
        <v>0</v>
      </c>
      <c r="G43" s="20">
        <f t="shared" si="6"/>
        <v>120.32</v>
      </c>
      <c r="H43" s="20">
        <f t="shared" si="7"/>
        <v>200.98</v>
      </c>
      <c r="I43" s="20">
        <f t="shared" si="8"/>
        <v>321.29999999999995</v>
      </c>
      <c r="J43" s="63">
        <f t="shared" si="9"/>
        <v>0.37447868036103332</v>
      </c>
      <c r="K43" s="8">
        <v>5</v>
      </c>
      <c r="L43" s="8">
        <v>5</v>
      </c>
      <c r="M43" s="8">
        <f t="shared" si="4"/>
        <v>10</v>
      </c>
      <c r="N43" s="7">
        <v>0</v>
      </c>
      <c r="O43" s="7">
        <v>0</v>
      </c>
      <c r="P43" s="22">
        <f t="shared" si="10"/>
        <v>0</v>
      </c>
    </row>
    <row r="44" spans="1:16">
      <c r="A44" s="21">
        <v>69</v>
      </c>
      <c r="B44" s="6" t="s">
        <v>37</v>
      </c>
      <c r="C44" s="7">
        <f>527.38-49.05</f>
        <v>478.33</v>
      </c>
      <c r="D44" s="7">
        <f>742.45+49.05</f>
        <v>791.5</v>
      </c>
      <c r="E44" s="7">
        <v>0</v>
      </c>
      <c r="F44" s="7">
        <v>0</v>
      </c>
      <c r="G44" s="20">
        <f t="shared" si="6"/>
        <v>478.33</v>
      </c>
      <c r="H44" s="20">
        <f t="shared" si="7"/>
        <v>791.5</v>
      </c>
      <c r="I44" s="20">
        <f t="shared" si="8"/>
        <v>1269.83</v>
      </c>
      <c r="J44" s="63">
        <f t="shared" si="9"/>
        <v>0.37668821810793574</v>
      </c>
      <c r="K44" s="8">
        <f>11-1</f>
        <v>10</v>
      </c>
      <c r="L44" s="8">
        <f>15+1</f>
        <v>16</v>
      </c>
      <c r="M44" s="8">
        <f t="shared" si="4"/>
        <v>26</v>
      </c>
      <c r="N44" s="7">
        <v>0</v>
      </c>
      <c r="O44" s="7">
        <v>0</v>
      </c>
      <c r="P44" s="22">
        <f t="shared" si="10"/>
        <v>0</v>
      </c>
    </row>
    <row r="45" spans="1:16">
      <c r="A45" s="21">
        <v>112</v>
      </c>
      <c r="B45" s="6" t="s">
        <v>3</v>
      </c>
      <c r="C45" s="7">
        <f>894.43-36.39-45.26-45.26-44.91</f>
        <v>722.61</v>
      </c>
      <c r="D45" s="7">
        <f>1003.61+36.39+45.26+45.26+44.91</f>
        <v>1175.43</v>
      </c>
      <c r="E45" s="7">
        <v>0</v>
      </c>
      <c r="F45" s="7">
        <v>0</v>
      </c>
      <c r="G45" s="20">
        <f t="shared" si="6"/>
        <v>722.61</v>
      </c>
      <c r="H45" s="20">
        <f t="shared" si="7"/>
        <v>1175.43</v>
      </c>
      <c r="I45" s="20">
        <f t="shared" si="8"/>
        <v>1898.04</v>
      </c>
      <c r="J45" s="63">
        <f t="shared" si="9"/>
        <v>0.38071378896124425</v>
      </c>
      <c r="K45" s="8">
        <f>22-1-1-1-2</f>
        <v>17</v>
      </c>
      <c r="L45" s="8">
        <f>24+1+1+2</f>
        <v>28</v>
      </c>
      <c r="M45" s="8">
        <f t="shared" si="4"/>
        <v>45</v>
      </c>
      <c r="N45" s="7">
        <v>0</v>
      </c>
      <c r="O45" s="7">
        <v>0</v>
      </c>
      <c r="P45" s="22">
        <f t="shared" si="10"/>
        <v>0</v>
      </c>
    </row>
    <row r="46" spans="1:16">
      <c r="A46" s="21">
        <v>9</v>
      </c>
      <c r="B46" s="6" t="s">
        <v>130</v>
      </c>
      <c r="C46" s="7">
        <f>214.11-57.42-21.87</f>
        <v>134.82</v>
      </c>
      <c r="D46" s="7">
        <f>127.6+57.42+21.87</f>
        <v>206.89</v>
      </c>
      <c r="E46" s="7">
        <v>0</v>
      </c>
      <c r="F46" s="7">
        <v>0</v>
      </c>
      <c r="G46" s="20">
        <f t="shared" si="6"/>
        <v>134.82</v>
      </c>
      <c r="H46" s="20">
        <f t="shared" si="7"/>
        <v>206.89</v>
      </c>
      <c r="I46" s="20">
        <f t="shared" si="8"/>
        <v>341.71</v>
      </c>
      <c r="J46" s="63">
        <f t="shared" si="9"/>
        <v>0.39454508208714995</v>
      </c>
      <c r="K46" s="8">
        <v>4</v>
      </c>
      <c r="L46" s="8">
        <v>5</v>
      </c>
      <c r="M46" s="8">
        <f t="shared" si="4"/>
        <v>9</v>
      </c>
      <c r="N46" s="7">
        <v>0</v>
      </c>
      <c r="O46" s="7">
        <v>0</v>
      </c>
      <c r="P46" s="22">
        <f t="shared" si="10"/>
        <v>0</v>
      </c>
    </row>
    <row r="47" spans="1:16">
      <c r="A47" s="21">
        <v>82</v>
      </c>
      <c r="B47" s="6" t="s">
        <v>89</v>
      </c>
      <c r="C47" s="7">
        <f>201.55-22.3-39.58-23.22</f>
        <v>116.45000000000002</v>
      </c>
      <c r="D47" s="7">
        <f>92.3+22.3+39.58+23.22</f>
        <v>177.4</v>
      </c>
      <c r="E47" s="7">
        <v>0</v>
      </c>
      <c r="F47" s="7">
        <v>0</v>
      </c>
      <c r="G47" s="20">
        <f t="shared" si="6"/>
        <v>116.45000000000002</v>
      </c>
      <c r="H47" s="20">
        <f t="shared" si="7"/>
        <v>177.4</v>
      </c>
      <c r="I47" s="20">
        <f t="shared" si="8"/>
        <v>293.85000000000002</v>
      </c>
      <c r="J47" s="63">
        <f t="shared" si="9"/>
        <v>0.39629062446826613</v>
      </c>
      <c r="K47" s="8">
        <f>6-2-1</f>
        <v>3</v>
      </c>
      <c r="L47" s="8">
        <f>3+2+1-1</f>
        <v>5</v>
      </c>
      <c r="M47" s="8">
        <v>8</v>
      </c>
      <c r="N47" s="7">
        <v>0</v>
      </c>
      <c r="O47" s="7">
        <v>0</v>
      </c>
      <c r="P47" s="22">
        <f t="shared" si="10"/>
        <v>0</v>
      </c>
    </row>
    <row r="48" spans="1:16">
      <c r="A48" s="21">
        <v>39</v>
      </c>
      <c r="B48" s="6" t="s">
        <v>79</v>
      </c>
      <c r="C48" s="7">
        <f>158.24-37.34</f>
        <v>120.9</v>
      </c>
      <c r="D48" s="7">
        <f>137.21+37.34</f>
        <v>174.55</v>
      </c>
      <c r="E48" s="7">
        <v>0</v>
      </c>
      <c r="F48" s="7">
        <v>0</v>
      </c>
      <c r="G48" s="20">
        <f t="shared" si="6"/>
        <v>120.9</v>
      </c>
      <c r="H48" s="20">
        <f t="shared" si="7"/>
        <v>174.55</v>
      </c>
      <c r="I48" s="20">
        <f t="shared" si="8"/>
        <v>295.45000000000005</v>
      </c>
      <c r="J48" s="63">
        <f t="shared" si="9"/>
        <v>0.40920629548146892</v>
      </c>
      <c r="K48" s="8">
        <f>5-1</f>
        <v>4</v>
      </c>
      <c r="L48" s="8">
        <f>4+1</f>
        <v>5</v>
      </c>
      <c r="M48" s="8">
        <f t="shared" ref="M48:M79" si="11">SUM(K48:L48)</f>
        <v>9</v>
      </c>
      <c r="N48" s="7">
        <v>0</v>
      </c>
      <c r="O48" s="7">
        <v>0</v>
      </c>
      <c r="P48" s="22">
        <f t="shared" si="10"/>
        <v>0</v>
      </c>
    </row>
    <row r="49" spans="1:16">
      <c r="A49" s="21">
        <v>79</v>
      </c>
      <c r="B49" s="6" t="s">
        <v>87</v>
      </c>
      <c r="C49" s="7">
        <f>213.25-24.7-34.3</f>
        <v>154.25</v>
      </c>
      <c r="D49" s="7">
        <f>156.42+24.7+34.3</f>
        <v>215.41999999999996</v>
      </c>
      <c r="E49" s="7">
        <v>0</v>
      </c>
      <c r="F49" s="7">
        <v>0</v>
      </c>
      <c r="G49" s="20">
        <f t="shared" si="6"/>
        <v>154.25</v>
      </c>
      <c r="H49" s="20">
        <f t="shared" si="7"/>
        <v>215.41999999999996</v>
      </c>
      <c r="I49" s="20">
        <f t="shared" si="8"/>
        <v>369.66999999999996</v>
      </c>
      <c r="J49" s="63">
        <f t="shared" si="9"/>
        <v>0.41726404631157521</v>
      </c>
      <c r="K49" s="8">
        <f>5-1-1</f>
        <v>3</v>
      </c>
      <c r="L49" s="8">
        <f>5+1+1</f>
        <v>7</v>
      </c>
      <c r="M49" s="8">
        <f t="shared" si="11"/>
        <v>10</v>
      </c>
      <c r="N49" s="7">
        <v>0</v>
      </c>
      <c r="O49" s="7">
        <v>0</v>
      </c>
      <c r="P49" s="22">
        <f t="shared" si="10"/>
        <v>0</v>
      </c>
    </row>
    <row r="50" spans="1:16">
      <c r="A50" s="21">
        <v>77</v>
      </c>
      <c r="B50" s="6" t="s">
        <v>19</v>
      </c>
      <c r="C50" s="7">
        <f>550.48-50.73-48.79-32.97</f>
        <v>417.99</v>
      </c>
      <c r="D50" s="7">
        <f>290.37+50.73+48.79+32.97</f>
        <v>422.86</v>
      </c>
      <c r="E50" s="7">
        <v>74.209999999999994</v>
      </c>
      <c r="F50" s="7">
        <v>244.04</v>
      </c>
      <c r="G50" s="20">
        <f t="shared" si="6"/>
        <v>492.2</v>
      </c>
      <c r="H50" s="20">
        <f t="shared" si="7"/>
        <v>666.9</v>
      </c>
      <c r="I50" s="20">
        <f t="shared" si="8"/>
        <v>1159.1000000000001</v>
      </c>
      <c r="J50" s="63">
        <f t="shared" si="9"/>
        <v>0.42463980674661367</v>
      </c>
      <c r="K50" s="8">
        <f>14-1-1-1</f>
        <v>11</v>
      </c>
      <c r="L50" s="8">
        <f>8+1+1+1</f>
        <v>11</v>
      </c>
      <c r="M50" s="8">
        <f t="shared" si="11"/>
        <v>22</v>
      </c>
      <c r="N50" s="8">
        <v>1</v>
      </c>
      <c r="O50" s="8">
        <v>5</v>
      </c>
      <c r="P50" s="22">
        <f t="shared" si="10"/>
        <v>6</v>
      </c>
    </row>
    <row r="51" spans="1:16">
      <c r="A51" s="21">
        <v>85</v>
      </c>
      <c r="B51" s="6" t="s">
        <v>28</v>
      </c>
      <c r="C51" s="7">
        <f>391.03-34.67-46-34.67</f>
        <v>275.68999999999994</v>
      </c>
      <c r="D51" s="7">
        <f>256.4+34.67+46+34.67</f>
        <v>371.74</v>
      </c>
      <c r="E51" s="7">
        <v>0</v>
      </c>
      <c r="F51" s="7">
        <v>0</v>
      </c>
      <c r="G51" s="20">
        <f t="shared" si="6"/>
        <v>275.68999999999994</v>
      </c>
      <c r="H51" s="20">
        <f t="shared" si="7"/>
        <v>371.74</v>
      </c>
      <c r="I51" s="20">
        <f t="shared" si="8"/>
        <v>647.42999999999995</v>
      </c>
      <c r="J51" s="63">
        <f t="shared" si="9"/>
        <v>0.42582209659731546</v>
      </c>
      <c r="K51" s="8">
        <f>10-3</f>
        <v>7</v>
      </c>
      <c r="L51" s="8">
        <f>6+3</f>
        <v>9</v>
      </c>
      <c r="M51" s="8">
        <f t="shared" si="11"/>
        <v>16</v>
      </c>
      <c r="N51" s="7">
        <v>0</v>
      </c>
      <c r="O51" s="7">
        <v>0</v>
      </c>
      <c r="P51" s="22">
        <f t="shared" si="10"/>
        <v>0</v>
      </c>
    </row>
    <row r="52" spans="1:16">
      <c r="A52" s="21">
        <v>3</v>
      </c>
      <c r="B52" s="6" t="s">
        <v>166</v>
      </c>
      <c r="C52" s="7">
        <f>163.56-58.45</f>
        <v>105.11</v>
      </c>
      <c r="D52" s="7">
        <f>515.01+58.45</f>
        <v>573.46</v>
      </c>
      <c r="E52" s="7">
        <v>336.6</v>
      </c>
      <c r="F52" s="7"/>
      <c r="G52" s="20">
        <f t="shared" si="6"/>
        <v>441.71000000000004</v>
      </c>
      <c r="H52" s="20">
        <f t="shared" si="7"/>
        <v>573.46</v>
      </c>
      <c r="I52" s="20">
        <f t="shared" si="8"/>
        <v>1015.1700000000001</v>
      </c>
      <c r="J52" s="63">
        <f t="shared" si="9"/>
        <v>0.43510939054542591</v>
      </c>
      <c r="K52" s="8">
        <f>4-1</f>
        <v>3</v>
      </c>
      <c r="L52" s="8">
        <f>8+1</f>
        <v>9</v>
      </c>
      <c r="M52" s="8">
        <f t="shared" si="11"/>
        <v>12</v>
      </c>
      <c r="N52" s="46">
        <v>1</v>
      </c>
      <c r="O52" s="7">
        <v>0</v>
      </c>
      <c r="P52" s="22">
        <f t="shared" si="10"/>
        <v>1</v>
      </c>
    </row>
    <row r="53" spans="1:16">
      <c r="A53" s="21">
        <v>107</v>
      </c>
      <c r="B53" s="6" t="s">
        <v>21</v>
      </c>
      <c r="C53" s="7">
        <f>739.55-224.2</f>
        <v>515.34999999999991</v>
      </c>
      <c r="D53" s="7">
        <f>432.85+224.2</f>
        <v>657.05</v>
      </c>
      <c r="E53" s="7">
        <v>0</v>
      </c>
      <c r="F53" s="7">
        <v>0</v>
      </c>
      <c r="G53" s="20">
        <f t="shared" si="6"/>
        <v>515.34999999999991</v>
      </c>
      <c r="H53" s="20">
        <f t="shared" si="7"/>
        <v>657.05</v>
      </c>
      <c r="I53" s="20">
        <f t="shared" si="8"/>
        <v>1172.3999999999999</v>
      </c>
      <c r="J53" s="63">
        <f t="shared" si="9"/>
        <v>0.43956840668713748</v>
      </c>
      <c r="K53" s="8">
        <f>17-5</f>
        <v>12</v>
      </c>
      <c r="L53" s="8">
        <f>10+5</f>
        <v>15</v>
      </c>
      <c r="M53" s="8">
        <f t="shared" si="11"/>
        <v>27</v>
      </c>
      <c r="N53" s="7">
        <v>0</v>
      </c>
      <c r="O53" s="7">
        <v>0</v>
      </c>
      <c r="P53" s="22">
        <f t="shared" si="10"/>
        <v>0</v>
      </c>
    </row>
    <row r="54" spans="1:16">
      <c r="A54" s="21">
        <v>24</v>
      </c>
      <c r="B54" s="6" t="s">
        <v>62</v>
      </c>
      <c r="C54" s="7">
        <v>204.57</v>
      </c>
      <c r="D54" s="7">
        <v>246.63</v>
      </c>
      <c r="E54" s="7">
        <v>0</v>
      </c>
      <c r="F54" s="7">
        <v>0</v>
      </c>
      <c r="G54" s="20">
        <f t="shared" si="6"/>
        <v>204.57</v>
      </c>
      <c r="H54" s="20">
        <f t="shared" si="7"/>
        <v>246.63</v>
      </c>
      <c r="I54" s="20">
        <f t="shared" si="8"/>
        <v>451.2</v>
      </c>
      <c r="J54" s="63">
        <f t="shared" si="9"/>
        <v>0.45339095744680852</v>
      </c>
      <c r="K54" s="8">
        <v>8</v>
      </c>
      <c r="L54" s="8">
        <v>7</v>
      </c>
      <c r="M54" s="8">
        <f t="shared" si="11"/>
        <v>15</v>
      </c>
      <c r="N54" s="7">
        <v>0</v>
      </c>
      <c r="O54" s="7">
        <v>0</v>
      </c>
      <c r="P54" s="22">
        <f t="shared" si="10"/>
        <v>0</v>
      </c>
    </row>
    <row r="55" spans="1:16">
      <c r="A55" s="21">
        <v>97</v>
      </c>
      <c r="B55" s="6" t="s">
        <v>83</v>
      </c>
      <c r="C55" s="7">
        <f>279.64-39.01-15.18</f>
        <v>225.45</v>
      </c>
      <c r="D55" s="7">
        <f>186.63+39.01+15.18</f>
        <v>240.82</v>
      </c>
      <c r="E55" s="7">
        <v>0</v>
      </c>
      <c r="F55" s="7">
        <v>0</v>
      </c>
      <c r="G55" s="20">
        <f t="shared" si="6"/>
        <v>225.45</v>
      </c>
      <c r="H55" s="20">
        <f t="shared" si="7"/>
        <v>240.82</v>
      </c>
      <c r="I55" s="20">
        <f t="shared" si="8"/>
        <v>466.27</v>
      </c>
      <c r="J55" s="63">
        <f t="shared" si="9"/>
        <v>0.4835181332704227</v>
      </c>
      <c r="K55" s="8">
        <f>11-1-1</f>
        <v>9</v>
      </c>
      <c r="L55" s="8">
        <f>7+1+1</f>
        <v>9</v>
      </c>
      <c r="M55" s="8">
        <f t="shared" si="11"/>
        <v>18</v>
      </c>
      <c r="N55" s="7">
        <v>0</v>
      </c>
      <c r="O55" s="7">
        <v>0</v>
      </c>
      <c r="P55" s="22">
        <f t="shared" si="10"/>
        <v>0</v>
      </c>
    </row>
    <row r="56" spans="1:16">
      <c r="A56" s="21">
        <v>120</v>
      </c>
      <c r="B56" s="6" t="s">
        <v>108</v>
      </c>
      <c r="C56" s="7">
        <v>74.540000000000006</v>
      </c>
      <c r="D56" s="7">
        <v>75.67</v>
      </c>
      <c r="E56" s="7">
        <v>0</v>
      </c>
      <c r="F56" s="7">
        <v>0</v>
      </c>
      <c r="G56" s="20">
        <f t="shared" si="6"/>
        <v>74.540000000000006</v>
      </c>
      <c r="H56" s="20">
        <f t="shared" si="7"/>
        <v>75.67</v>
      </c>
      <c r="I56" s="20">
        <f t="shared" si="8"/>
        <v>150.21</v>
      </c>
      <c r="J56" s="63">
        <f t="shared" si="9"/>
        <v>0.49623859929432129</v>
      </c>
      <c r="K56" s="8">
        <v>2</v>
      </c>
      <c r="L56" s="8">
        <v>2</v>
      </c>
      <c r="M56" s="8">
        <f t="shared" si="11"/>
        <v>4</v>
      </c>
      <c r="N56" s="7">
        <v>0</v>
      </c>
      <c r="O56" s="7">
        <v>0</v>
      </c>
      <c r="P56" s="22">
        <f t="shared" si="10"/>
        <v>0</v>
      </c>
    </row>
    <row r="57" spans="1:16">
      <c r="A57" s="21">
        <v>15</v>
      </c>
      <c r="B57" s="6" t="s">
        <v>101</v>
      </c>
      <c r="C57" s="7">
        <f>231.41-38.9-38</f>
        <v>154.51</v>
      </c>
      <c r="D57" s="7">
        <f>79.74+38.9+38</f>
        <v>156.63999999999999</v>
      </c>
      <c r="E57" s="7">
        <v>0</v>
      </c>
      <c r="F57" s="7">
        <v>0</v>
      </c>
      <c r="G57" s="20">
        <f t="shared" si="6"/>
        <v>154.51</v>
      </c>
      <c r="H57" s="20">
        <f t="shared" si="7"/>
        <v>156.63999999999999</v>
      </c>
      <c r="I57" s="20">
        <f t="shared" si="8"/>
        <v>311.14999999999998</v>
      </c>
      <c r="J57" s="63">
        <f t="shared" si="9"/>
        <v>0.49657721356259038</v>
      </c>
      <c r="K57" s="8">
        <f>6-1-1</f>
        <v>4</v>
      </c>
      <c r="L57" s="8">
        <f>2+1+1</f>
        <v>4</v>
      </c>
      <c r="M57" s="8">
        <f t="shared" si="11"/>
        <v>8</v>
      </c>
      <c r="N57" s="7">
        <v>0</v>
      </c>
      <c r="O57" s="7">
        <v>0</v>
      </c>
      <c r="P57" s="22">
        <f t="shared" si="10"/>
        <v>0</v>
      </c>
    </row>
    <row r="58" spans="1:16">
      <c r="A58" s="21">
        <v>59</v>
      </c>
      <c r="B58" s="6" t="s">
        <v>54</v>
      </c>
      <c r="C58" s="7">
        <f>196.6-38.6</f>
        <v>158</v>
      </c>
      <c r="D58" s="7">
        <f>119.78+38.6</f>
        <v>158.38</v>
      </c>
      <c r="E58" s="7">
        <v>0</v>
      </c>
      <c r="F58" s="7">
        <v>0</v>
      </c>
      <c r="G58" s="20">
        <f t="shared" si="6"/>
        <v>158</v>
      </c>
      <c r="H58" s="20">
        <f t="shared" si="7"/>
        <v>158.38</v>
      </c>
      <c r="I58" s="20">
        <f t="shared" si="8"/>
        <v>316.38</v>
      </c>
      <c r="J58" s="63">
        <f t="shared" si="9"/>
        <v>0.49939945634995891</v>
      </c>
      <c r="K58" s="8">
        <f>6-1-1</f>
        <v>4</v>
      </c>
      <c r="L58" s="8">
        <f>4+1</f>
        <v>5</v>
      </c>
      <c r="M58" s="8">
        <f t="shared" si="11"/>
        <v>9</v>
      </c>
      <c r="N58" s="7">
        <v>0</v>
      </c>
      <c r="O58" s="7">
        <v>0</v>
      </c>
      <c r="P58" s="22">
        <f t="shared" si="10"/>
        <v>0</v>
      </c>
    </row>
    <row r="59" spans="1:16" s="81" customFormat="1">
      <c r="A59" s="75">
        <v>1</v>
      </c>
      <c r="B59" s="76" t="s">
        <v>53</v>
      </c>
      <c r="C59" s="77">
        <f>137.26-31.5</f>
        <v>105.75999999999999</v>
      </c>
      <c r="D59" s="77">
        <f>74.26+31.5</f>
        <v>105.76</v>
      </c>
      <c r="E59" s="77">
        <v>0</v>
      </c>
      <c r="F59" s="77">
        <v>0</v>
      </c>
      <c r="G59" s="78">
        <f t="shared" si="6"/>
        <v>105.75999999999999</v>
      </c>
      <c r="H59" s="78">
        <f t="shared" si="7"/>
        <v>105.76</v>
      </c>
      <c r="I59" s="78">
        <f t="shared" si="8"/>
        <v>211.51999999999998</v>
      </c>
      <c r="J59" s="63">
        <f t="shared" si="9"/>
        <v>0.5</v>
      </c>
      <c r="K59" s="79">
        <v>3</v>
      </c>
      <c r="L59" s="79">
        <v>3</v>
      </c>
      <c r="M59" s="79">
        <f t="shared" si="11"/>
        <v>6</v>
      </c>
      <c r="N59" s="77">
        <v>0</v>
      </c>
      <c r="O59" s="77">
        <v>0</v>
      </c>
      <c r="P59" s="80">
        <f t="shared" si="10"/>
        <v>0</v>
      </c>
    </row>
    <row r="60" spans="1:16">
      <c r="A60" s="21">
        <v>2</v>
      </c>
      <c r="B60" s="6" t="s">
        <v>50</v>
      </c>
      <c r="C60" s="7">
        <f>163.2-33.6</f>
        <v>129.6</v>
      </c>
      <c r="D60" s="7">
        <f>95.6+33.6</f>
        <v>129.19999999999999</v>
      </c>
      <c r="E60" s="7">
        <v>0</v>
      </c>
      <c r="F60" s="7">
        <v>0</v>
      </c>
      <c r="G60" s="20">
        <f t="shared" si="6"/>
        <v>129.6</v>
      </c>
      <c r="H60" s="20">
        <f t="shared" si="7"/>
        <v>129.19999999999999</v>
      </c>
      <c r="I60" s="20">
        <f t="shared" si="8"/>
        <v>258.79999999999995</v>
      </c>
      <c r="J60" s="63">
        <f t="shared" si="9"/>
        <v>0.50077279752704795</v>
      </c>
      <c r="K60" s="8">
        <f>7-1</f>
        <v>6</v>
      </c>
      <c r="L60" s="8">
        <f>3+1</f>
        <v>4</v>
      </c>
      <c r="M60" s="8">
        <f t="shared" si="11"/>
        <v>10</v>
      </c>
      <c r="N60" s="7">
        <v>0</v>
      </c>
      <c r="O60" s="7">
        <v>0</v>
      </c>
      <c r="P60" s="22">
        <f t="shared" si="10"/>
        <v>0</v>
      </c>
    </row>
    <row r="61" spans="1:16" s="52" customFormat="1">
      <c r="A61" s="21">
        <v>3</v>
      </c>
      <c r="B61" s="6" t="s">
        <v>18</v>
      </c>
      <c r="C61" s="7">
        <f>679.97-47.12-34.12-50.45</f>
        <v>548.28</v>
      </c>
      <c r="D61" s="7">
        <f>616.69+47.12+34.12+50.45</f>
        <v>748.38000000000011</v>
      </c>
      <c r="E61" s="7">
        <v>260.41000000000003</v>
      </c>
      <c r="F61" s="7">
        <v>35.700000000000003</v>
      </c>
      <c r="G61" s="20">
        <f t="shared" si="6"/>
        <v>808.69</v>
      </c>
      <c r="H61" s="20">
        <f t="shared" si="7"/>
        <v>784.08000000000015</v>
      </c>
      <c r="I61" s="20">
        <f t="shared" si="8"/>
        <v>1592.7700000000002</v>
      </c>
      <c r="J61" s="63">
        <f t="shared" si="9"/>
        <v>0.50772553476019766</v>
      </c>
      <c r="K61" s="8">
        <f>16-1-1-1</f>
        <v>13</v>
      </c>
      <c r="L61" s="8">
        <f>15+1+1+1</f>
        <v>18</v>
      </c>
      <c r="M61" s="8">
        <f t="shared" si="11"/>
        <v>31</v>
      </c>
      <c r="N61" s="8">
        <v>4</v>
      </c>
      <c r="O61" s="8">
        <v>1</v>
      </c>
      <c r="P61" s="22">
        <f t="shared" si="10"/>
        <v>5</v>
      </c>
    </row>
    <row r="62" spans="1:16">
      <c r="A62" s="21">
        <v>4</v>
      </c>
      <c r="B62" s="6" t="s">
        <v>41</v>
      </c>
      <c r="C62" s="7">
        <f>1222.13-530.27</f>
        <v>691.86000000000013</v>
      </c>
      <c r="D62" s="7">
        <f>133.47+530.27</f>
        <v>663.74</v>
      </c>
      <c r="E62" s="7">
        <v>0</v>
      </c>
      <c r="F62" s="7">
        <v>0</v>
      </c>
      <c r="G62" s="20">
        <f t="shared" si="6"/>
        <v>691.86000000000013</v>
      </c>
      <c r="H62" s="20">
        <f t="shared" si="7"/>
        <v>663.74</v>
      </c>
      <c r="I62" s="20">
        <f t="shared" si="8"/>
        <v>1355.6000000000001</v>
      </c>
      <c r="J62" s="63">
        <f t="shared" si="9"/>
        <v>0.51037179108881681</v>
      </c>
      <c r="K62" s="8">
        <f>22-9</f>
        <v>13</v>
      </c>
      <c r="L62" s="8">
        <f>2+9</f>
        <v>11</v>
      </c>
      <c r="M62" s="8">
        <f t="shared" si="11"/>
        <v>24</v>
      </c>
      <c r="N62" s="7">
        <v>0</v>
      </c>
      <c r="O62" s="7">
        <v>0</v>
      </c>
      <c r="P62" s="22">
        <f t="shared" si="10"/>
        <v>0</v>
      </c>
    </row>
    <row r="63" spans="1:16" s="52" customFormat="1">
      <c r="A63" s="21">
        <v>5</v>
      </c>
      <c r="B63" s="6" t="s">
        <v>69</v>
      </c>
      <c r="C63" s="7">
        <v>108.82</v>
      </c>
      <c r="D63" s="7">
        <v>103.91</v>
      </c>
      <c r="E63" s="7">
        <v>0</v>
      </c>
      <c r="F63" s="7">
        <v>0</v>
      </c>
      <c r="G63" s="20">
        <f t="shared" si="6"/>
        <v>108.82</v>
      </c>
      <c r="H63" s="20">
        <f t="shared" si="7"/>
        <v>103.91</v>
      </c>
      <c r="I63" s="20">
        <f t="shared" si="8"/>
        <v>212.73</v>
      </c>
      <c r="J63" s="63">
        <f t="shared" si="9"/>
        <v>0.51154045033610684</v>
      </c>
      <c r="K63" s="8">
        <v>3</v>
      </c>
      <c r="L63" s="8">
        <v>3</v>
      </c>
      <c r="M63" s="8">
        <f t="shared" si="11"/>
        <v>6</v>
      </c>
      <c r="N63" s="7">
        <v>0</v>
      </c>
      <c r="O63" s="7">
        <v>0</v>
      </c>
      <c r="P63" s="22">
        <f t="shared" si="10"/>
        <v>0</v>
      </c>
    </row>
    <row r="64" spans="1:16">
      <c r="A64" s="21">
        <v>6</v>
      </c>
      <c r="B64" s="6" t="s">
        <v>97</v>
      </c>
      <c r="C64" s="7">
        <v>118.82</v>
      </c>
      <c r="D64" s="7">
        <v>112.96</v>
      </c>
      <c r="E64" s="7">
        <v>0</v>
      </c>
      <c r="F64" s="7">
        <v>0</v>
      </c>
      <c r="G64" s="20">
        <f t="shared" si="6"/>
        <v>118.82</v>
      </c>
      <c r="H64" s="20">
        <f t="shared" si="7"/>
        <v>112.96</v>
      </c>
      <c r="I64" s="20">
        <f t="shared" si="8"/>
        <v>231.77999999999997</v>
      </c>
      <c r="J64" s="63">
        <f t="shared" si="9"/>
        <v>0.51264129778237988</v>
      </c>
      <c r="K64" s="8">
        <v>3</v>
      </c>
      <c r="L64" s="8">
        <v>3</v>
      </c>
      <c r="M64" s="8">
        <f t="shared" si="11"/>
        <v>6</v>
      </c>
      <c r="N64" s="7">
        <v>0</v>
      </c>
      <c r="O64" s="7">
        <v>0</v>
      </c>
      <c r="P64" s="22">
        <f t="shared" si="10"/>
        <v>0</v>
      </c>
    </row>
    <row r="65" spans="1:16">
      <c r="A65" s="75">
        <v>7</v>
      </c>
      <c r="B65" s="6" t="s">
        <v>129</v>
      </c>
      <c r="C65" s="7">
        <v>181.8</v>
      </c>
      <c r="D65" s="7">
        <v>164.06</v>
      </c>
      <c r="E65" s="7">
        <v>0</v>
      </c>
      <c r="F65" s="7">
        <v>0</v>
      </c>
      <c r="G65" s="20">
        <f t="shared" si="6"/>
        <v>181.8</v>
      </c>
      <c r="H65" s="20">
        <f t="shared" si="7"/>
        <v>164.06</v>
      </c>
      <c r="I65" s="20">
        <f t="shared" si="8"/>
        <v>345.86</v>
      </c>
      <c r="J65" s="63">
        <f t="shared" si="9"/>
        <v>0.5256462152315966</v>
      </c>
      <c r="K65" s="8">
        <v>4</v>
      </c>
      <c r="L65" s="8">
        <v>2</v>
      </c>
      <c r="M65" s="8">
        <f t="shared" si="11"/>
        <v>6</v>
      </c>
      <c r="N65" s="7">
        <v>0</v>
      </c>
      <c r="O65" s="7">
        <v>0</v>
      </c>
      <c r="P65" s="22">
        <f t="shared" si="10"/>
        <v>0</v>
      </c>
    </row>
    <row r="66" spans="1:16">
      <c r="A66" s="21">
        <v>8</v>
      </c>
      <c r="B66" s="6" t="s">
        <v>56</v>
      </c>
      <c r="C66" s="7">
        <f>344.95-42-24.22-22.89</f>
        <v>255.84000000000003</v>
      </c>
      <c r="D66" s="7">
        <f>134.25+42+24.22+22.89</f>
        <v>223.36</v>
      </c>
      <c r="E66" s="7">
        <v>0</v>
      </c>
      <c r="F66" s="7">
        <v>0</v>
      </c>
      <c r="G66" s="20">
        <f t="shared" ref="G66:G97" si="12">C66+E66</f>
        <v>255.84000000000003</v>
      </c>
      <c r="H66" s="20">
        <f t="shared" ref="H66:H97" si="13">D66+F66</f>
        <v>223.36</v>
      </c>
      <c r="I66" s="20">
        <f t="shared" ref="I66:I97" si="14">C66+D66+E66+F66</f>
        <v>479.20000000000005</v>
      </c>
      <c r="J66" s="63">
        <f t="shared" ref="J66:J97" si="15">G66/I66</f>
        <v>0.53388981636060107</v>
      </c>
      <c r="K66" s="8">
        <f>15-1-1-1-1</f>
        <v>11</v>
      </c>
      <c r="L66" s="8">
        <f>4+1+1</f>
        <v>6</v>
      </c>
      <c r="M66" s="8">
        <f t="shared" si="11"/>
        <v>17</v>
      </c>
      <c r="N66" s="7">
        <v>0</v>
      </c>
      <c r="O66" s="7">
        <v>0</v>
      </c>
      <c r="P66" s="22">
        <f t="shared" ref="P66:P97" si="16">SUM(N66:O66)</f>
        <v>0</v>
      </c>
    </row>
    <row r="67" spans="1:16">
      <c r="A67" s="21">
        <v>9</v>
      </c>
      <c r="B67" s="13" t="s">
        <v>59</v>
      </c>
      <c r="C67" s="69">
        <f>565.13-103.14+5.8-112.24-25.75</f>
        <v>329.8</v>
      </c>
      <c r="D67" s="69">
        <f>44+103.14+112.24+25.75</f>
        <v>285.13</v>
      </c>
      <c r="E67" s="69">
        <v>0</v>
      </c>
      <c r="F67" s="69">
        <v>0</v>
      </c>
      <c r="G67" s="71">
        <f t="shared" si="12"/>
        <v>329.8</v>
      </c>
      <c r="H67" s="71">
        <f t="shared" si="13"/>
        <v>285.13</v>
      </c>
      <c r="I67" s="71">
        <f t="shared" si="14"/>
        <v>614.93000000000006</v>
      </c>
      <c r="J67" s="72">
        <f t="shared" si="15"/>
        <v>0.53632120729188681</v>
      </c>
      <c r="K67" s="13">
        <f>11-1-1-1</f>
        <v>8</v>
      </c>
      <c r="L67" s="13">
        <f>2+1+1+1</f>
        <v>5</v>
      </c>
      <c r="M67" s="13">
        <f t="shared" si="11"/>
        <v>13</v>
      </c>
      <c r="N67" s="69">
        <v>0</v>
      </c>
      <c r="O67" s="69">
        <v>0</v>
      </c>
      <c r="P67" s="70">
        <f t="shared" si="16"/>
        <v>0</v>
      </c>
    </row>
    <row r="68" spans="1:16">
      <c r="A68" s="21">
        <v>10</v>
      </c>
      <c r="B68" s="6" t="s">
        <v>100</v>
      </c>
      <c r="C68" s="7">
        <f>624.13+5.67-107.32-83.7</f>
        <v>438.78000000000003</v>
      </c>
      <c r="D68" s="7">
        <f>183.47+107.32+83.7</f>
        <v>374.48999999999995</v>
      </c>
      <c r="E68" s="7">
        <v>0</v>
      </c>
      <c r="F68" s="7">
        <v>0</v>
      </c>
      <c r="G68" s="20">
        <f t="shared" si="12"/>
        <v>438.78000000000003</v>
      </c>
      <c r="H68" s="20">
        <f t="shared" si="13"/>
        <v>374.48999999999995</v>
      </c>
      <c r="I68" s="20">
        <f t="shared" si="14"/>
        <v>813.27</v>
      </c>
      <c r="J68" s="63">
        <f t="shared" si="15"/>
        <v>0.53952561879818517</v>
      </c>
      <c r="K68" s="8">
        <f>9-1-1</f>
        <v>7</v>
      </c>
      <c r="L68" s="8">
        <f>2+1+1</f>
        <v>4</v>
      </c>
      <c r="M68" s="8">
        <f t="shared" si="11"/>
        <v>11</v>
      </c>
      <c r="N68" s="7">
        <v>0</v>
      </c>
      <c r="O68" s="7">
        <v>0</v>
      </c>
      <c r="P68" s="22">
        <f t="shared" si="16"/>
        <v>0</v>
      </c>
    </row>
    <row r="69" spans="1:16">
      <c r="A69" s="21">
        <v>11</v>
      </c>
      <c r="B69" s="6" t="s">
        <v>90</v>
      </c>
      <c r="C69" s="7">
        <v>213.55</v>
      </c>
      <c r="D69" s="7">
        <v>181.5</v>
      </c>
      <c r="E69" s="7">
        <v>0</v>
      </c>
      <c r="F69" s="7">
        <v>0</v>
      </c>
      <c r="G69" s="20">
        <f t="shared" si="12"/>
        <v>213.55</v>
      </c>
      <c r="H69" s="20">
        <f t="shared" si="13"/>
        <v>181.5</v>
      </c>
      <c r="I69" s="20">
        <f t="shared" si="14"/>
        <v>395.05</v>
      </c>
      <c r="J69" s="63">
        <f t="shared" si="15"/>
        <v>0.54056448550816349</v>
      </c>
      <c r="K69" s="8">
        <v>6</v>
      </c>
      <c r="L69" s="8">
        <v>4</v>
      </c>
      <c r="M69" s="8">
        <f t="shared" si="11"/>
        <v>10</v>
      </c>
      <c r="N69" s="7">
        <v>0</v>
      </c>
      <c r="O69" s="7">
        <v>0</v>
      </c>
      <c r="P69" s="22">
        <f t="shared" si="16"/>
        <v>0</v>
      </c>
    </row>
    <row r="70" spans="1:16">
      <c r="A70" s="21">
        <v>12</v>
      </c>
      <c r="B70" s="6" t="s">
        <v>68</v>
      </c>
      <c r="C70" s="7">
        <v>117.77</v>
      </c>
      <c r="D70" s="7">
        <v>95.48</v>
      </c>
      <c r="E70" s="7">
        <v>0</v>
      </c>
      <c r="F70" s="7">
        <v>0</v>
      </c>
      <c r="G70" s="20">
        <f t="shared" si="12"/>
        <v>117.77</v>
      </c>
      <c r="H70" s="20">
        <f t="shared" si="13"/>
        <v>95.48</v>
      </c>
      <c r="I70" s="20">
        <f t="shared" si="14"/>
        <v>213.25</v>
      </c>
      <c r="J70" s="63">
        <f t="shared" si="15"/>
        <v>0.5522626025791324</v>
      </c>
      <c r="K70" s="8">
        <v>3</v>
      </c>
      <c r="L70" s="8">
        <v>3</v>
      </c>
      <c r="M70" s="8">
        <f t="shared" si="11"/>
        <v>6</v>
      </c>
      <c r="N70" s="7">
        <v>0</v>
      </c>
      <c r="O70" s="7">
        <v>0</v>
      </c>
      <c r="P70" s="22">
        <f t="shared" si="16"/>
        <v>0</v>
      </c>
    </row>
    <row r="71" spans="1:16">
      <c r="A71" s="75">
        <v>13</v>
      </c>
      <c r="B71" s="6" t="s">
        <v>64</v>
      </c>
      <c r="C71" s="7">
        <f>369.2+35.34+7.21-61.39-13.41</f>
        <v>336.94999999999993</v>
      </c>
      <c r="D71" s="7">
        <f>197.84+74.8</f>
        <v>272.64</v>
      </c>
      <c r="E71" s="7">
        <v>0</v>
      </c>
      <c r="F71" s="7">
        <v>0</v>
      </c>
      <c r="G71" s="20">
        <f t="shared" si="12"/>
        <v>336.94999999999993</v>
      </c>
      <c r="H71" s="20">
        <f t="shared" si="13"/>
        <v>272.64</v>
      </c>
      <c r="I71" s="20">
        <f t="shared" si="14"/>
        <v>609.58999999999992</v>
      </c>
      <c r="J71" s="63">
        <f t="shared" si="15"/>
        <v>0.55274856871011657</v>
      </c>
      <c r="K71" s="8">
        <f>9-2</f>
        <v>7</v>
      </c>
      <c r="L71" s="8">
        <f>3+1</f>
        <v>4</v>
      </c>
      <c r="M71" s="8">
        <f t="shared" si="11"/>
        <v>11</v>
      </c>
      <c r="N71" s="7">
        <v>0</v>
      </c>
      <c r="O71" s="7">
        <v>0</v>
      </c>
      <c r="P71" s="22">
        <f t="shared" si="16"/>
        <v>0</v>
      </c>
    </row>
    <row r="72" spans="1:16">
      <c r="A72" s="21">
        <v>14</v>
      </c>
      <c r="B72" s="6" t="s">
        <v>85</v>
      </c>
      <c r="C72" s="7">
        <v>223.47</v>
      </c>
      <c r="D72" s="7">
        <v>178</v>
      </c>
      <c r="E72" s="7">
        <v>0</v>
      </c>
      <c r="F72" s="7">
        <v>0</v>
      </c>
      <c r="G72" s="20">
        <f t="shared" si="12"/>
        <v>223.47</v>
      </c>
      <c r="H72" s="20">
        <f t="shared" si="13"/>
        <v>178</v>
      </c>
      <c r="I72" s="20">
        <f t="shared" si="14"/>
        <v>401.47</v>
      </c>
      <c r="J72" s="63">
        <f t="shared" si="15"/>
        <v>0.55662938700276476</v>
      </c>
      <c r="K72" s="8">
        <v>7</v>
      </c>
      <c r="L72" s="8">
        <v>6</v>
      </c>
      <c r="M72" s="8">
        <f t="shared" si="11"/>
        <v>13</v>
      </c>
      <c r="N72" s="7">
        <v>0</v>
      </c>
      <c r="O72" s="7">
        <v>0</v>
      </c>
      <c r="P72" s="22">
        <f t="shared" si="16"/>
        <v>0</v>
      </c>
    </row>
    <row r="73" spans="1:16">
      <c r="A73" s="21">
        <v>15</v>
      </c>
      <c r="B73" s="6" t="s">
        <v>95</v>
      </c>
      <c r="C73" s="7">
        <v>217.09</v>
      </c>
      <c r="D73" s="7">
        <v>169.4</v>
      </c>
      <c r="E73" s="7">
        <v>0</v>
      </c>
      <c r="F73" s="7">
        <v>0</v>
      </c>
      <c r="G73" s="20">
        <f t="shared" si="12"/>
        <v>217.09</v>
      </c>
      <c r="H73" s="20">
        <f t="shared" si="13"/>
        <v>169.4</v>
      </c>
      <c r="I73" s="20">
        <f t="shared" si="14"/>
        <v>386.49</v>
      </c>
      <c r="J73" s="63">
        <f t="shared" si="15"/>
        <v>0.56169629227146889</v>
      </c>
      <c r="K73" s="8">
        <v>4</v>
      </c>
      <c r="L73" s="8">
        <v>4</v>
      </c>
      <c r="M73" s="8">
        <f t="shared" si="11"/>
        <v>8</v>
      </c>
      <c r="N73" s="7">
        <v>0</v>
      </c>
      <c r="O73" s="7">
        <v>0</v>
      </c>
      <c r="P73" s="22">
        <f t="shared" si="16"/>
        <v>0</v>
      </c>
    </row>
    <row r="74" spans="1:16">
      <c r="A74" s="21">
        <v>16</v>
      </c>
      <c r="B74" s="6" t="s">
        <v>127</v>
      </c>
      <c r="C74" s="7">
        <f>704.99-32.75</f>
        <v>672.24</v>
      </c>
      <c r="D74" s="7">
        <f>477.24+32.75-0.05-0.42</f>
        <v>509.52</v>
      </c>
      <c r="E74" s="7">
        <v>0</v>
      </c>
      <c r="F74" s="7">
        <v>0</v>
      </c>
      <c r="G74" s="20">
        <f t="shared" si="12"/>
        <v>672.24</v>
      </c>
      <c r="H74" s="20">
        <f t="shared" si="13"/>
        <v>509.52</v>
      </c>
      <c r="I74" s="20">
        <f t="shared" si="14"/>
        <v>1181.76</v>
      </c>
      <c r="J74" s="63">
        <f t="shared" si="15"/>
        <v>0.56884646628757107</v>
      </c>
      <c r="K74" s="8">
        <f>15-1</f>
        <v>14</v>
      </c>
      <c r="L74" s="8">
        <f>11+1</f>
        <v>12</v>
      </c>
      <c r="M74" s="8">
        <f t="shared" si="11"/>
        <v>26</v>
      </c>
      <c r="N74" s="7">
        <v>0</v>
      </c>
      <c r="O74" s="7">
        <v>0</v>
      </c>
      <c r="P74" s="22">
        <f t="shared" si="16"/>
        <v>0</v>
      </c>
    </row>
    <row r="75" spans="1:16">
      <c r="A75" s="21">
        <v>17</v>
      </c>
      <c r="B75" s="6" t="s">
        <v>76</v>
      </c>
      <c r="C75" s="7">
        <f>215.58-24.95-6.06-2.06</f>
        <v>182.51000000000002</v>
      </c>
      <c r="D75" s="7">
        <f>117.62+24.95-4.74</f>
        <v>137.82999999999998</v>
      </c>
      <c r="E75" s="7">
        <v>0</v>
      </c>
      <c r="F75" s="7">
        <v>0</v>
      </c>
      <c r="G75" s="20">
        <f t="shared" si="12"/>
        <v>182.51000000000002</v>
      </c>
      <c r="H75" s="20">
        <f t="shared" si="13"/>
        <v>137.82999999999998</v>
      </c>
      <c r="I75" s="20">
        <f t="shared" si="14"/>
        <v>320.34000000000003</v>
      </c>
      <c r="J75" s="63">
        <f t="shared" si="15"/>
        <v>0.56973840294686895</v>
      </c>
      <c r="K75" s="8">
        <v>7</v>
      </c>
      <c r="L75" s="8">
        <v>4</v>
      </c>
      <c r="M75" s="8">
        <f t="shared" si="11"/>
        <v>11</v>
      </c>
      <c r="N75" s="7">
        <v>0</v>
      </c>
      <c r="O75" s="7">
        <v>0</v>
      </c>
      <c r="P75" s="22">
        <f t="shared" si="16"/>
        <v>0</v>
      </c>
    </row>
    <row r="76" spans="1:16">
      <c r="A76" s="21">
        <v>18</v>
      </c>
      <c r="B76" s="6" t="s">
        <v>42</v>
      </c>
      <c r="C76" s="7">
        <f>160-11</f>
        <v>149</v>
      </c>
      <c r="D76" s="7">
        <f>98.74+11</f>
        <v>109.74</v>
      </c>
      <c r="E76" s="7">
        <v>0</v>
      </c>
      <c r="F76" s="7">
        <v>0</v>
      </c>
      <c r="G76" s="20">
        <f t="shared" si="12"/>
        <v>149</v>
      </c>
      <c r="H76" s="20">
        <f t="shared" si="13"/>
        <v>109.74</v>
      </c>
      <c r="I76" s="20">
        <f t="shared" si="14"/>
        <v>258.74</v>
      </c>
      <c r="J76" s="63">
        <f t="shared" si="15"/>
        <v>0.57586766638324183</v>
      </c>
      <c r="K76" s="8">
        <f>8-1</f>
        <v>7</v>
      </c>
      <c r="L76" s="8">
        <v>3</v>
      </c>
      <c r="M76" s="8">
        <f t="shared" si="11"/>
        <v>10</v>
      </c>
      <c r="N76" s="7">
        <v>0</v>
      </c>
      <c r="O76" s="7">
        <v>0</v>
      </c>
      <c r="P76" s="22">
        <f t="shared" si="16"/>
        <v>0</v>
      </c>
    </row>
    <row r="77" spans="1:16">
      <c r="A77" s="75">
        <v>19</v>
      </c>
      <c r="B77" s="6" t="s">
        <v>14</v>
      </c>
      <c r="C77" s="7">
        <f>101.18-17</f>
        <v>84.18</v>
      </c>
      <c r="D77" s="7">
        <f>42.5+17</f>
        <v>59.5</v>
      </c>
      <c r="E77" s="7">
        <v>0</v>
      </c>
      <c r="F77" s="7">
        <v>0</v>
      </c>
      <c r="G77" s="20">
        <f t="shared" si="12"/>
        <v>84.18</v>
      </c>
      <c r="H77" s="20">
        <f t="shared" si="13"/>
        <v>59.5</v>
      </c>
      <c r="I77" s="20">
        <f t="shared" si="14"/>
        <v>143.68</v>
      </c>
      <c r="J77" s="63">
        <f t="shared" si="15"/>
        <v>0.58588530066815148</v>
      </c>
      <c r="K77" s="8">
        <f>3-1</f>
        <v>2</v>
      </c>
      <c r="L77" s="8">
        <f>1+1</f>
        <v>2</v>
      </c>
      <c r="M77" s="8">
        <f t="shared" si="11"/>
        <v>4</v>
      </c>
      <c r="N77" s="7">
        <v>0</v>
      </c>
      <c r="O77" s="7">
        <v>0</v>
      </c>
      <c r="P77" s="22">
        <f t="shared" si="16"/>
        <v>0</v>
      </c>
    </row>
    <row r="78" spans="1:16">
      <c r="A78" s="21">
        <v>20</v>
      </c>
      <c r="B78" s="6" t="s">
        <v>94</v>
      </c>
      <c r="C78" s="7">
        <v>164.37</v>
      </c>
      <c r="D78" s="7">
        <v>116</v>
      </c>
      <c r="E78" s="7">
        <v>0</v>
      </c>
      <c r="F78" s="7">
        <v>0</v>
      </c>
      <c r="G78" s="20">
        <f t="shared" si="12"/>
        <v>164.37</v>
      </c>
      <c r="H78" s="20">
        <f t="shared" si="13"/>
        <v>116</v>
      </c>
      <c r="I78" s="20">
        <f t="shared" si="14"/>
        <v>280.37</v>
      </c>
      <c r="J78" s="63">
        <f t="shared" si="15"/>
        <v>0.58626101223383387</v>
      </c>
      <c r="K78" s="8">
        <v>5</v>
      </c>
      <c r="L78" s="8">
        <v>3</v>
      </c>
      <c r="M78" s="8">
        <f t="shared" si="11"/>
        <v>8</v>
      </c>
      <c r="N78" s="7">
        <v>0</v>
      </c>
      <c r="O78" s="7">
        <v>0</v>
      </c>
      <c r="P78" s="22">
        <f t="shared" si="16"/>
        <v>0</v>
      </c>
    </row>
    <row r="79" spans="1:16">
      <c r="A79" s="21">
        <v>21</v>
      </c>
      <c r="B79" s="11" t="s">
        <v>103</v>
      </c>
      <c r="C79" s="12">
        <f>297.44-112.35-46.26</f>
        <v>138.83000000000001</v>
      </c>
      <c r="D79" s="12">
        <f>64.29+112.35+46.26</f>
        <v>222.89999999999998</v>
      </c>
      <c r="E79" s="12">
        <v>180.17</v>
      </c>
      <c r="F79" s="12">
        <v>0</v>
      </c>
      <c r="G79" s="50">
        <f t="shared" si="12"/>
        <v>319</v>
      </c>
      <c r="H79" s="50">
        <f t="shared" si="13"/>
        <v>222.89999999999998</v>
      </c>
      <c r="I79" s="50">
        <f t="shared" si="14"/>
        <v>541.9</v>
      </c>
      <c r="J79" s="63">
        <f t="shared" si="15"/>
        <v>0.58866949621701425</v>
      </c>
      <c r="K79" s="9">
        <f>6-1-1-1</f>
        <v>3</v>
      </c>
      <c r="L79" s="9">
        <f>1+1</f>
        <v>2</v>
      </c>
      <c r="M79" s="9">
        <f t="shared" si="11"/>
        <v>5</v>
      </c>
      <c r="N79" s="9">
        <v>2</v>
      </c>
      <c r="O79" s="12">
        <v>0</v>
      </c>
      <c r="P79" s="51">
        <f t="shared" si="16"/>
        <v>2</v>
      </c>
    </row>
    <row r="80" spans="1:16">
      <c r="A80" s="21">
        <v>22</v>
      </c>
      <c r="B80" s="6" t="s">
        <v>88</v>
      </c>
      <c r="C80" s="7">
        <f>271.77+8.25+8.25-43+3.55</f>
        <v>248.82</v>
      </c>
      <c r="D80" s="7">
        <f>124.9+43</f>
        <v>167.9</v>
      </c>
      <c r="E80" s="7">
        <v>0</v>
      </c>
      <c r="F80" s="7">
        <v>0</v>
      </c>
      <c r="G80" s="20">
        <f t="shared" si="12"/>
        <v>248.82</v>
      </c>
      <c r="H80" s="20">
        <f t="shared" si="13"/>
        <v>167.9</v>
      </c>
      <c r="I80" s="20">
        <f t="shared" si="14"/>
        <v>416.72</v>
      </c>
      <c r="J80" s="63">
        <f t="shared" si="15"/>
        <v>0.59709157227874832</v>
      </c>
      <c r="K80" s="8">
        <f>8-1</f>
        <v>7</v>
      </c>
      <c r="L80" s="8">
        <f>4+1</f>
        <v>5</v>
      </c>
      <c r="M80" s="8">
        <f t="shared" ref="M80:M111" si="17">SUM(K80:L80)</f>
        <v>12</v>
      </c>
      <c r="N80" s="7">
        <v>0</v>
      </c>
      <c r="O80" s="7">
        <v>0</v>
      </c>
      <c r="P80" s="22">
        <f t="shared" si="16"/>
        <v>0</v>
      </c>
    </row>
    <row r="81" spans="1:16">
      <c r="A81" s="21">
        <v>23</v>
      </c>
      <c r="B81" s="6" t="s">
        <v>118</v>
      </c>
      <c r="C81" s="7">
        <f>346.41+3.54-77.4</f>
        <v>272.55000000000007</v>
      </c>
      <c r="D81" s="7">
        <f>101.61+77.4</f>
        <v>179.01</v>
      </c>
      <c r="E81" s="7">
        <v>0</v>
      </c>
      <c r="F81" s="7">
        <v>0</v>
      </c>
      <c r="G81" s="20">
        <f t="shared" si="12"/>
        <v>272.55000000000007</v>
      </c>
      <c r="H81" s="20">
        <f t="shared" si="13"/>
        <v>179.01</v>
      </c>
      <c r="I81" s="20">
        <f t="shared" si="14"/>
        <v>451.56000000000006</v>
      </c>
      <c r="J81" s="63">
        <f t="shared" si="15"/>
        <v>0.60357427584374179</v>
      </c>
      <c r="K81" s="8">
        <f>8-1</f>
        <v>7</v>
      </c>
      <c r="L81" s="8">
        <f>2+1</f>
        <v>3</v>
      </c>
      <c r="M81" s="8">
        <f t="shared" si="17"/>
        <v>10</v>
      </c>
      <c r="N81" s="7">
        <v>0</v>
      </c>
      <c r="O81" s="7">
        <v>0</v>
      </c>
      <c r="P81" s="22">
        <f t="shared" si="16"/>
        <v>0</v>
      </c>
    </row>
    <row r="82" spans="1:16">
      <c r="A82" s="21">
        <v>24</v>
      </c>
      <c r="B82" s="6" t="s">
        <v>93</v>
      </c>
      <c r="C82" s="7">
        <v>183.25</v>
      </c>
      <c r="D82" s="7">
        <v>115.6</v>
      </c>
      <c r="E82" s="7">
        <v>0</v>
      </c>
      <c r="F82" s="7">
        <v>0</v>
      </c>
      <c r="G82" s="20">
        <f t="shared" si="12"/>
        <v>183.25</v>
      </c>
      <c r="H82" s="20">
        <f t="shared" si="13"/>
        <v>115.6</v>
      </c>
      <c r="I82" s="20">
        <f t="shared" si="14"/>
        <v>298.85000000000002</v>
      </c>
      <c r="J82" s="63">
        <f t="shared" si="15"/>
        <v>0.61318387150744513</v>
      </c>
      <c r="K82" s="8">
        <v>5</v>
      </c>
      <c r="L82" s="8">
        <v>3</v>
      </c>
      <c r="M82" s="8">
        <f t="shared" si="17"/>
        <v>8</v>
      </c>
      <c r="N82" s="7">
        <v>0</v>
      </c>
      <c r="O82" s="7">
        <v>0</v>
      </c>
      <c r="P82" s="22">
        <f t="shared" si="16"/>
        <v>0</v>
      </c>
    </row>
    <row r="83" spans="1:16">
      <c r="A83" s="75">
        <v>25</v>
      </c>
      <c r="B83" s="6" t="s">
        <v>92</v>
      </c>
      <c r="C83" s="7">
        <v>164.67</v>
      </c>
      <c r="D83" s="7">
        <v>102.97</v>
      </c>
      <c r="E83" s="7">
        <v>0</v>
      </c>
      <c r="F83" s="7">
        <v>0</v>
      </c>
      <c r="G83" s="20">
        <f t="shared" si="12"/>
        <v>164.67</v>
      </c>
      <c r="H83" s="20">
        <f t="shared" si="13"/>
        <v>102.97</v>
      </c>
      <c r="I83" s="20">
        <f t="shared" si="14"/>
        <v>267.64</v>
      </c>
      <c r="J83" s="63">
        <f t="shared" si="15"/>
        <v>0.61526677626662685</v>
      </c>
      <c r="K83" s="8">
        <v>5</v>
      </c>
      <c r="L83" s="8">
        <v>3</v>
      </c>
      <c r="M83" s="8">
        <f t="shared" si="17"/>
        <v>8</v>
      </c>
      <c r="N83" s="7">
        <v>0</v>
      </c>
      <c r="O83" s="7">
        <v>0</v>
      </c>
      <c r="P83" s="22">
        <f t="shared" si="16"/>
        <v>0</v>
      </c>
    </row>
    <row r="84" spans="1:16">
      <c r="A84" s="21">
        <v>26</v>
      </c>
      <c r="B84" s="11" t="s">
        <v>113</v>
      </c>
      <c r="C84" s="7">
        <f>300.5-48.81-40.75</f>
        <v>210.94</v>
      </c>
      <c r="D84" s="7">
        <f>40.75+48.81+40.75</f>
        <v>130.31</v>
      </c>
      <c r="E84" s="7">
        <v>0</v>
      </c>
      <c r="F84" s="7">
        <v>0</v>
      </c>
      <c r="G84" s="20">
        <f t="shared" si="12"/>
        <v>210.94</v>
      </c>
      <c r="H84" s="20">
        <f t="shared" si="13"/>
        <v>130.31</v>
      </c>
      <c r="I84" s="20">
        <f t="shared" si="14"/>
        <v>341.25</v>
      </c>
      <c r="J84" s="63">
        <f t="shared" si="15"/>
        <v>0.61813919413919416</v>
      </c>
      <c r="K84" s="8">
        <f>7-1-1</f>
        <v>5</v>
      </c>
      <c r="L84" s="8">
        <f>1+1+1</f>
        <v>3</v>
      </c>
      <c r="M84" s="8">
        <f t="shared" si="17"/>
        <v>8</v>
      </c>
      <c r="N84" s="7">
        <v>0</v>
      </c>
      <c r="O84" s="7">
        <v>0</v>
      </c>
      <c r="P84" s="22">
        <f t="shared" si="16"/>
        <v>0</v>
      </c>
    </row>
    <row r="85" spans="1:16">
      <c r="A85" s="21">
        <v>27</v>
      </c>
      <c r="B85" s="6" t="s">
        <v>105</v>
      </c>
      <c r="C85" s="7">
        <v>164.07</v>
      </c>
      <c r="D85" s="7">
        <v>100.5</v>
      </c>
      <c r="E85" s="7">
        <v>0</v>
      </c>
      <c r="F85" s="7">
        <v>0</v>
      </c>
      <c r="G85" s="20">
        <f t="shared" si="12"/>
        <v>164.07</v>
      </c>
      <c r="H85" s="20">
        <f t="shared" si="13"/>
        <v>100.5</v>
      </c>
      <c r="I85" s="20">
        <f t="shared" si="14"/>
        <v>264.57</v>
      </c>
      <c r="J85" s="63">
        <f t="shared" si="15"/>
        <v>0.62013833768000903</v>
      </c>
      <c r="K85" s="8">
        <v>5</v>
      </c>
      <c r="L85" s="8">
        <v>3</v>
      </c>
      <c r="M85" s="8">
        <f t="shared" si="17"/>
        <v>8</v>
      </c>
      <c r="N85" s="7">
        <v>0</v>
      </c>
      <c r="O85" s="7">
        <v>0</v>
      </c>
      <c r="P85" s="22">
        <f t="shared" si="16"/>
        <v>0</v>
      </c>
    </row>
    <row r="86" spans="1:16">
      <c r="A86" s="21">
        <v>28</v>
      </c>
      <c r="B86" s="6" t="s">
        <v>61</v>
      </c>
      <c r="C86" s="7">
        <f>226.98-38</f>
        <v>188.98</v>
      </c>
      <c r="D86" s="7">
        <f>77.45+38</f>
        <v>115.45</v>
      </c>
      <c r="E86" s="7">
        <v>0</v>
      </c>
      <c r="F86" s="7">
        <v>0</v>
      </c>
      <c r="G86" s="20">
        <f t="shared" si="12"/>
        <v>188.98</v>
      </c>
      <c r="H86" s="20">
        <f t="shared" si="13"/>
        <v>115.45</v>
      </c>
      <c r="I86" s="20">
        <f t="shared" si="14"/>
        <v>304.43</v>
      </c>
      <c r="J86" s="63">
        <f t="shared" si="15"/>
        <v>0.62076667871103364</v>
      </c>
      <c r="K86" s="8">
        <f>8-1</f>
        <v>7</v>
      </c>
      <c r="L86" s="8">
        <f>2+1</f>
        <v>3</v>
      </c>
      <c r="M86" s="8">
        <f t="shared" si="17"/>
        <v>10</v>
      </c>
      <c r="N86" s="7">
        <v>0</v>
      </c>
      <c r="O86" s="7">
        <v>0</v>
      </c>
      <c r="P86" s="22">
        <f t="shared" si="16"/>
        <v>0</v>
      </c>
    </row>
    <row r="87" spans="1:16">
      <c r="A87" s="21">
        <v>29</v>
      </c>
      <c r="B87" s="6" t="s">
        <v>63</v>
      </c>
      <c r="C87" s="7">
        <f>218.3-24.25</f>
        <v>194.05</v>
      </c>
      <c r="D87" s="7">
        <f>81.41+24.25</f>
        <v>105.66</v>
      </c>
      <c r="E87" s="7">
        <v>0</v>
      </c>
      <c r="F87" s="7">
        <v>0</v>
      </c>
      <c r="G87" s="20">
        <f t="shared" si="12"/>
        <v>194.05</v>
      </c>
      <c r="H87" s="20">
        <f t="shared" si="13"/>
        <v>105.66</v>
      </c>
      <c r="I87" s="20">
        <f t="shared" si="14"/>
        <v>299.71000000000004</v>
      </c>
      <c r="J87" s="63">
        <f t="shared" si="15"/>
        <v>0.64745921057021782</v>
      </c>
      <c r="K87" s="8">
        <f>11-1</f>
        <v>10</v>
      </c>
      <c r="L87" s="8">
        <f>3+1</f>
        <v>4</v>
      </c>
      <c r="M87" s="8">
        <f t="shared" si="17"/>
        <v>14</v>
      </c>
      <c r="N87" s="7">
        <v>0</v>
      </c>
      <c r="O87" s="7">
        <v>0</v>
      </c>
      <c r="P87" s="22">
        <f t="shared" si="16"/>
        <v>0</v>
      </c>
    </row>
    <row r="88" spans="1:16" s="52" customFormat="1">
      <c r="A88" s="21">
        <v>30</v>
      </c>
      <c r="B88" s="6" t="s">
        <v>74</v>
      </c>
      <c r="C88" s="7">
        <v>139.53</v>
      </c>
      <c r="D88" s="7">
        <v>75.75</v>
      </c>
      <c r="E88" s="7">
        <v>0</v>
      </c>
      <c r="F88" s="7">
        <v>0</v>
      </c>
      <c r="G88" s="20">
        <f t="shared" si="12"/>
        <v>139.53</v>
      </c>
      <c r="H88" s="20">
        <f t="shared" si="13"/>
        <v>75.75</v>
      </c>
      <c r="I88" s="20">
        <f t="shared" si="14"/>
        <v>215.28</v>
      </c>
      <c r="J88" s="63">
        <f t="shared" si="15"/>
        <v>0.64813266443701223</v>
      </c>
      <c r="K88" s="8">
        <v>4</v>
      </c>
      <c r="L88" s="8">
        <v>2</v>
      </c>
      <c r="M88" s="8">
        <f t="shared" si="17"/>
        <v>6</v>
      </c>
      <c r="N88" s="7">
        <v>0</v>
      </c>
      <c r="O88" s="7">
        <v>0</v>
      </c>
      <c r="P88" s="22">
        <f t="shared" si="16"/>
        <v>0</v>
      </c>
    </row>
    <row r="89" spans="1:16">
      <c r="A89" s="75">
        <v>31</v>
      </c>
      <c r="B89" s="6" t="s">
        <v>55</v>
      </c>
      <c r="C89" s="7">
        <f>358.86-23.27-32.7</f>
        <v>302.89000000000004</v>
      </c>
      <c r="D89" s="7">
        <f>105.81+23.27+32.7</f>
        <v>161.78000000000003</v>
      </c>
      <c r="E89" s="7">
        <v>0</v>
      </c>
      <c r="F89" s="7">
        <v>0</v>
      </c>
      <c r="G89" s="20">
        <f t="shared" si="12"/>
        <v>302.89000000000004</v>
      </c>
      <c r="H89" s="20">
        <f t="shared" si="13"/>
        <v>161.78000000000003</v>
      </c>
      <c r="I89" s="20">
        <f t="shared" si="14"/>
        <v>464.67000000000007</v>
      </c>
      <c r="J89" s="63">
        <f t="shared" si="15"/>
        <v>0.65183893946241422</v>
      </c>
      <c r="K89" s="8">
        <f>12-1-1</f>
        <v>10</v>
      </c>
      <c r="L89" s="8">
        <f>5+1+1</f>
        <v>7</v>
      </c>
      <c r="M89" s="8">
        <f t="shared" si="17"/>
        <v>17</v>
      </c>
      <c r="N89" s="7">
        <v>0</v>
      </c>
      <c r="O89" s="7">
        <v>0</v>
      </c>
      <c r="P89" s="22">
        <f t="shared" si="16"/>
        <v>0</v>
      </c>
    </row>
    <row r="90" spans="1:16">
      <c r="A90" s="21">
        <v>32</v>
      </c>
      <c r="B90" s="13" t="s">
        <v>117</v>
      </c>
      <c r="C90" s="7">
        <f>269.02-23-16.4-22.8</f>
        <v>206.81999999999996</v>
      </c>
      <c r="D90" s="7">
        <f>47.1+23+16.4+22.8</f>
        <v>109.3</v>
      </c>
      <c r="E90" s="7">
        <v>0</v>
      </c>
      <c r="F90" s="7">
        <v>0</v>
      </c>
      <c r="G90" s="20">
        <f t="shared" si="12"/>
        <v>206.81999999999996</v>
      </c>
      <c r="H90" s="20">
        <f t="shared" si="13"/>
        <v>109.3</v>
      </c>
      <c r="I90" s="20">
        <f t="shared" si="14"/>
        <v>316.11999999999995</v>
      </c>
      <c r="J90" s="63">
        <f t="shared" si="15"/>
        <v>0.65424522333291157</v>
      </c>
      <c r="K90" s="8">
        <f>13-1-1-1</f>
        <v>10</v>
      </c>
      <c r="L90" s="8">
        <f>2+1+1+1</f>
        <v>5</v>
      </c>
      <c r="M90" s="8">
        <f t="shared" si="17"/>
        <v>15</v>
      </c>
      <c r="N90" s="7">
        <v>0</v>
      </c>
      <c r="O90" s="7">
        <v>0</v>
      </c>
      <c r="P90" s="22">
        <f t="shared" si="16"/>
        <v>0</v>
      </c>
    </row>
    <row r="91" spans="1:16" s="52" customFormat="1">
      <c r="A91" s="21">
        <v>33</v>
      </c>
      <c r="B91" s="6" t="s">
        <v>71</v>
      </c>
      <c r="C91" s="7">
        <v>162.31</v>
      </c>
      <c r="D91" s="7">
        <v>85.1</v>
      </c>
      <c r="E91" s="7">
        <v>0</v>
      </c>
      <c r="F91" s="7">
        <v>0</v>
      </c>
      <c r="G91" s="20">
        <f t="shared" si="12"/>
        <v>162.31</v>
      </c>
      <c r="H91" s="20">
        <f t="shared" si="13"/>
        <v>85.1</v>
      </c>
      <c r="I91" s="20">
        <f t="shared" si="14"/>
        <v>247.41</v>
      </c>
      <c r="J91" s="63">
        <f t="shared" si="15"/>
        <v>0.6560365385392668</v>
      </c>
      <c r="K91" s="8">
        <v>4</v>
      </c>
      <c r="L91" s="8">
        <v>2</v>
      </c>
      <c r="M91" s="8">
        <f t="shared" si="17"/>
        <v>6</v>
      </c>
      <c r="N91" s="7">
        <v>0</v>
      </c>
      <c r="O91" s="7">
        <v>0</v>
      </c>
      <c r="P91" s="22">
        <f t="shared" si="16"/>
        <v>0</v>
      </c>
    </row>
    <row r="92" spans="1:16">
      <c r="A92" s="21">
        <v>34</v>
      </c>
      <c r="B92" s="6" t="s">
        <v>72</v>
      </c>
      <c r="C92" s="7">
        <v>142</v>
      </c>
      <c r="D92" s="7">
        <v>73.88</v>
      </c>
      <c r="E92" s="7">
        <v>0</v>
      </c>
      <c r="F92" s="7">
        <v>0</v>
      </c>
      <c r="G92" s="20">
        <f t="shared" si="12"/>
        <v>142</v>
      </c>
      <c r="H92" s="20">
        <f t="shared" si="13"/>
        <v>73.88</v>
      </c>
      <c r="I92" s="20">
        <f t="shared" si="14"/>
        <v>215.88</v>
      </c>
      <c r="J92" s="63">
        <f t="shared" si="15"/>
        <v>0.6577728367611636</v>
      </c>
      <c r="K92" s="8">
        <v>4</v>
      </c>
      <c r="L92" s="8">
        <v>2</v>
      </c>
      <c r="M92" s="8">
        <f t="shared" si="17"/>
        <v>6</v>
      </c>
      <c r="N92" s="7">
        <v>0</v>
      </c>
      <c r="O92" s="7">
        <v>0</v>
      </c>
      <c r="P92" s="22">
        <f t="shared" si="16"/>
        <v>0</v>
      </c>
    </row>
    <row r="93" spans="1:16">
      <c r="A93" s="21">
        <v>35</v>
      </c>
      <c r="B93" s="6" t="s">
        <v>98</v>
      </c>
      <c r="C93" s="7">
        <f>366.88-24-16.9</f>
        <v>325.98</v>
      </c>
      <c r="D93" s="7">
        <f>121.55+24+16.9</f>
        <v>162.45000000000002</v>
      </c>
      <c r="E93" s="7">
        <v>0</v>
      </c>
      <c r="F93" s="7">
        <v>0</v>
      </c>
      <c r="G93" s="20">
        <f t="shared" si="12"/>
        <v>325.98</v>
      </c>
      <c r="H93" s="20">
        <f t="shared" si="13"/>
        <v>162.45000000000002</v>
      </c>
      <c r="I93" s="20">
        <f t="shared" si="14"/>
        <v>488.43000000000006</v>
      </c>
      <c r="J93" s="63">
        <f t="shared" si="15"/>
        <v>0.66740372213009025</v>
      </c>
      <c r="K93" s="8">
        <f>11-1-1</f>
        <v>9</v>
      </c>
      <c r="L93" s="8">
        <f>3+1+1-1</f>
        <v>4</v>
      </c>
      <c r="M93" s="8">
        <f t="shared" si="17"/>
        <v>13</v>
      </c>
      <c r="N93" s="7">
        <v>0</v>
      </c>
      <c r="O93" s="7">
        <v>0</v>
      </c>
      <c r="P93" s="22">
        <f t="shared" si="16"/>
        <v>0</v>
      </c>
    </row>
    <row r="94" spans="1:16">
      <c r="A94" s="21">
        <v>36</v>
      </c>
      <c r="B94" s="6" t="s">
        <v>78</v>
      </c>
      <c r="C94" s="7">
        <f>239.39-17.21</f>
        <v>222.17999999999998</v>
      </c>
      <c r="D94" s="7">
        <f>89.21+17.21</f>
        <v>106.41999999999999</v>
      </c>
      <c r="E94" s="7">
        <v>0</v>
      </c>
      <c r="F94" s="7">
        <v>0</v>
      </c>
      <c r="G94" s="20">
        <f t="shared" si="12"/>
        <v>222.17999999999998</v>
      </c>
      <c r="H94" s="20">
        <f t="shared" si="13"/>
        <v>106.41999999999999</v>
      </c>
      <c r="I94" s="20">
        <f t="shared" si="14"/>
        <v>328.59999999999997</v>
      </c>
      <c r="J94" s="63">
        <f t="shared" si="15"/>
        <v>0.6761412051125989</v>
      </c>
      <c r="K94" s="8">
        <f>10-1</f>
        <v>9</v>
      </c>
      <c r="L94" s="8">
        <f>3+1</f>
        <v>4</v>
      </c>
      <c r="M94" s="8">
        <f t="shared" si="17"/>
        <v>13</v>
      </c>
      <c r="N94" s="7">
        <v>0</v>
      </c>
      <c r="O94" s="7">
        <v>0</v>
      </c>
      <c r="P94" s="22">
        <f t="shared" si="16"/>
        <v>0</v>
      </c>
    </row>
    <row r="95" spans="1:16">
      <c r="A95" s="75">
        <v>37</v>
      </c>
      <c r="B95" s="6" t="s">
        <v>73</v>
      </c>
      <c r="C95" s="7">
        <f>633.18-55.96-3.82</f>
        <v>573.39999999999986</v>
      </c>
      <c r="D95" s="7">
        <f>175.01+55.96</f>
        <v>230.97</v>
      </c>
      <c r="E95" s="7">
        <v>21.16</v>
      </c>
      <c r="F95" s="7">
        <v>50.1</v>
      </c>
      <c r="G95" s="20">
        <f t="shared" si="12"/>
        <v>594.55999999999983</v>
      </c>
      <c r="H95" s="20">
        <f t="shared" si="13"/>
        <v>281.07</v>
      </c>
      <c r="I95" s="20">
        <f t="shared" si="14"/>
        <v>875.62999999999988</v>
      </c>
      <c r="J95" s="63">
        <f t="shared" si="15"/>
        <v>0.67900825691216604</v>
      </c>
      <c r="K95" s="8">
        <f>19-1+1-1</f>
        <v>18</v>
      </c>
      <c r="L95" s="8">
        <f>4+1</f>
        <v>5</v>
      </c>
      <c r="M95" s="8">
        <f t="shared" si="17"/>
        <v>23</v>
      </c>
      <c r="N95" s="8">
        <v>1</v>
      </c>
      <c r="O95" s="8">
        <v>1</v>
      </c>
      <c r="P95" s="22">
        <f t="shared" si="16"/>
        <v>2</v>
      </c>
    </row>
    <row r="96" spans="1:16">
      <c r="A96" s="21">
        <v>38</v>
      </c>
      <c r="B96" s="6" t="s">
        <v>81</v>
      </c>
      <c r="C96" s="7">
        <f>332.96-15.18</f>
        <v>317.77999999999997</v>
      </c>
      <c r="D96" s="7">
        <f>132.62+15.18</f>
        <v>147.80000000000001</v>
      </c>
      <c r="E96" s="7">
        <v>0</v>
      </c>
      <c r="F96" s="7">
        <v>0</v>
      </c>
      <c r="G96" s="20">
        <f t="shared" si="12"/>
        <v>317.77999999999997</v>
      </c>
      <c r="H96" s="20">
        <f t="shared" si="13"/>
        <v>147.80000000000001</v>
      </c>
      <c r="I96" s="20">
        <f t="shared" si="14"/>
        <v>465.58</v>
      </c>
      <c r="J96" s="63">
        <f t="shared" si="15"/>
        <v>0.68254650113836501</v>
      </c>
      <c r="K96" s="8">
        <f>14-1</f>
        <v>13</v>
      </c>
      <c r="L96" s="8">
        <f>5+1</f>
        <v>6</v>
      </c>
      <c r="M96" s="8">
        <f t="shared" si="17"/>
        <v>19</v>
      </c>
      <c r="N96" s="7">
        <v>0</v>
      </c>
      <c r="O96" s="7">
        <v>0</v>
      </c>
      <c r="P96" s="22">
        <f t="shared" si="16"/>
        <v>0</v>
      </c>
    </row>
    <row r="97" spans="1:16">
      <c r="A97" s="21">
        <v>39</v>
      </c>
      <c r="B97" s="6" t="s">
        <v>15</v>
      </c>
      <c r="C97" s="7">
        <f>491.11-46.71-46.71</f>
        <v>397.69000000000005</v>
      </c>
      <c r="D97" s="7">
        <f>91.15+46.71+46.71</f>
        <v>184.57000000000002</v>
      </c>
      <c r="E97" s="7">
        <v>0</v>
      </c>
      <c r="F97" s="7">
        <v>0</v>
      </c>
      <c r="G97" s="20">
        <f t="shared" si="12"/>
        <v>397.69000000000005</v>
      </c>
      <c r="H97" s="20">
        <f t="shared" si="13"/>
        <v>184.57000000000002</v>
      </c>
      <c r="I97" s="20">
        <f t="shared" si="14"/>
        <v>582.2600000000001</v>
      </c>
      <c r="J97" s="63">
        <f t="shared" si="15"/>
        <v>0.6830110260021296</v>
      </c>
      <c r="K97" s="8">
        <f>12-1-1</f>
        <v>10</v>
      </c>
      <c r="L97" s="8">
        <f>3+1+1</f>
        <v>5</v>
      </c>
      <c r="M97" s="8">
        <f t="shared" si="17"/>
        <v>15</v>
      </c>
      <c r="N97" s="7">
        <v>0</v>
      </c>
      <c r="O97" s="7">
        <v>0</v>
      </c>
      <c r="P97" s="22">
        <f t="shared" si="16"/>
        <v>0</v>
      </c>
    </row>
    <row r="98" spans="1:16">
      <c r="A98" s="21">
        <v>40</v>
      </c>
      <c r="B98" s="6" t="s">
        <v>82</v>
      </c>
      <c r="C98" s="7">
        <v>215.51</v>
      </c>
      <c r="D98" s="7">
        <v>89.87</v>
      </c>
      <c r="E98" s="7">
        <v>0</v>
      </c>
      <c r="F98" s="7">
        <v>0</v>
      </c>
      <c r="G98" s="20">
        <f t="shared" ref="G98:G121" si="18">C98+E98</f>
        <v>215.51</v>
      </c>
      <c r="H98" s="20">
        <f t="shared" ref="H98:H121" si="19">D98+F98</f>
        <v>89.87</v>
      </c>
      <c r="I98" s="20">
        <f t="shared" ref="I98:I121" si="20">C98+D98+E98+F98</f>
        <v>305.38</v>
      </c>
      <c r="J98" s="63">
        <f t="shared" ref="J98:J123" si="21">G98/I98</f>
        <v>0.70571091754535331</v>
      </c>
      <c r="K98" s="8">
        <v>8</v>
      </c>
      <c r="L98" s="8">
        <v>5</v>
      </c>
      <c r="M98" s="8">
        <f t="shared" si="17"/>
        <v>13</v>
      </c>
      <c r="N98" s="7">
        <v>0</v>
      </c>
      <c r="O98" s="7">
        <v>0</v>
      </c>
      <c r="P98" s="22">
        <f t="shared" ref="P98:P121" si="22">SUM(N98:O98)</f>
        <v>0</v>
      </c>
    </row>
    <row r="99" spans="1:16">
      <c r="A99" s="21">
        <v>41</v>
      </c>
      <c r="B99" s="6" t="s">
        <v>107</v>
      </c>
      <c r="C99" s="7">
        <v>198.01</v>
      </c>
      <c r="D99" s="7">
        <v>81.62</v>
      </c>
      <c r="E99" s="7">
        <v>0</v>
      </c>
      <c r="F99" s="7">
        <v>0</v>
      </c>
      <c r="G99" s="20">
        <f t="shared" si="18"/>
        <v>198.01</v>
      </c>
      <c r="H99" s="20">
        <f t="shared" si="19"/>
        <v>81.62</v>
      </c>
      <c r="I99" s="20">
        <f t="shared" si="20"/>
        <v>279.63</v>
      </c>
      <c r="J99" s="63">
        <f t="shared" si="21"/>
        <v>0.70811429388835245</v>
      </c>
      <c r="K99" s="8">
        <v>10</v>
      </c>
      <c r="L99" s="8">
        <v>3</v>
      </c>
      <c r="M99" s="8">
        <f t="shared" si="17"/>
        <v>13</v>
      </c>
      <c r="N99" s="7">
        <v>0</v>
      </c>
      <c r="O99" s="7">
        <v>0</v>
      </c>
      <c r="P99" s="22">
        <f t="shared" si="22"/>
        <v>0</v>
      </c>
    </row>
    <row r="100" spans="1:16" s="52" customFormat="1">
      <c r="A100" s="21">
        <v>42</v>
      </c>
      <c r="B100" s="6" t="s">
        <v>96</v>
      </c>
      <c r="C100" s="7">
        <f>370.75-21.5-14</f>
        <v>335.25</v>
      </c>
      <c r="D100" s="7">
        <f>126.37+21.5+14</f>
        <v>161.87</v>
      </c>
      <c r="E100" s="7">
        <v>59.36</v>
      </c>
      <c r="F100" s="7">
        <v>0</v>
      </c>
      <c r="G100" s="20">
        <f t="shared" si="18"/>
        <v>394.61</v>
      </c>
      <c r="H100" s="20">
        <f t="shared" si="19"/>
        <v>161.87</v>
      </c>
      <c r="I100" s="20">
        <f t="shared" si="20"/>
        <v>556.48</v>
      </c>
      <c r="J100" s="63">
        <f t="shared" si="21"/>
        <v>0.70911802760207021</v>
      </c>
      <c r="K100" s="8">
        <f>12-1-1</f>
        <v>10</v>
      </c>
      <c r="L100" s="8">
        <f>5+1+1</f>
        <v>7</v>
      </c>
      <c r="M100" s="8">
        <f t="shared" si="17"/>
        <v>17</v>
      </c>
      <c r="N100" s="8">
        <v>2</v>
      </c>
      <c r="O100" s="7">
        <v>0</v>
      </c>
      <c r="P100" s="22">
        <f t="shared" si="22"/>
        <v>2</v>
      </c>
    </row>
    <row r="101" spans="1:16">
      <c r="A101" s="75">
        <v>43</v>
      </c>
      <c r="B101" s="6" t="s">
        <v>106</v>
      </c>
      <c r="C101" s="7">
        <v>214.46</v>
      </c>
      <c r="D101" s="7">
        <v>86.54</v>
      </c>
      <c r="E101" s="7">
        <v>0</v>
      </c>
      <c r="F101" s="7">
        <v>0</v>
      </c>
      <c r="G101" s="20">
        <f t="shared" si="18"/>
        <v>214.46</v>
      </c>
      <c r="H101" s="20">
        <f t="shared" si="19"/>
        <v>86.54</v>
      </c>
      <c r="I101" s="20">
        <f t="shared" si="20"/>
        <v>301</v>
      </c>
      <c r="J101" s="63">
        <f t="shared" si="21"/>
        <v>0.71249169435215953</v>
      </c>
      <c r="K101" s="8">
        <v>8</v>
      </c>
      <c r="L101" s="8">
        <v>3</v>
      </c>
      <c r="M101" s="8">
        <f t="shared" si="17"/>
        <v>11</v>
      </c>
      <c r="N101" s="7">
        <v>0</v>
      </c>
      <c r="O101" s="7">
        <v>0</v>
      </c>
      <c r="P101" s="22">
        <f t="shared" si="22"/>
        <v>0</v>
      </c>
    </row>
    <row r="102" spans="1:16">
      <c r="A102" s="21">
        <v>44</v>
      </c>
      <c r="B102" s="6" t="s">
        <v>84</v>
      </c>
      <c r="C102" s="7">
        <f>248.64-21.39-23.96</f>
        <v>203.29</v>
      </c>
      <c r="D102" s="7">
        <f>36.28+21.39+23.96</f>
        <v>81.63</v>
      </c>
      <c r="E102" s="7">
        <v>0</v>
      </c>
      <c r="F102" s="7">
        <v>0</v>
      </c>
      <c r="G102" s="20">
        <f t="shared" si="18"/>
        <v>203.29</v>
      </c>
      <c r="H102" s="20">
        <f t="shared" si="19"/>
        <v>81.63</v>
      </c>
      <c r="I102" s="20">
        <f t="shared" si="20"/>
        <v>284.91999999999996</v>
      </c>
      <c r="J102" s="63">
        <f t="shared" si="21"/>
        <v>0.71349852590200769</v>
      </c>
      <c r="K102" s="8">
        <f>11-1-1</f>
        <v>9</v>
      </c>
      <c r="L102" s="8">
        <f>2+1+1</f>
        <v>4</v>
      </c>
      <c r="M102" s="8">
        <f t="shared" si="17"/>
        <v>13</v>
      </c>
      <c r="N102" s="7">
        <v>0</v>
      </c>
      <c r="O102" s="7">
        <v>0</v>
      </c>
      <c r="P102" s="22">
        <f t="shared" si="22"/>
        <v>0</v>
      </c>
    </row>
    <row r="103" spans="1:16">
      <c r="A103" s="21">
        <v>45</v>
      </c>
      <c r="B103" s="11" t="s">
        <v>112</v>
      </c>
      <c r="C103" s="7">
        <v>135.44</v>
      </c>
      <c r="D103" s="7">
        <v>49.35</v>
      </c>
      <c r="E103" s="7">
        <v>0</v>
      </c>
      <c r="F103" s="7">
        <v>0</v>
      </c>
      <c r="G103" s="20">
        <f t="shared" si="18"/>
        <v>135.44</v>
      </c>
      <c r="H103" s="20">
        <f t="shared" si="19"/>
        <v>49.35</v>
      </c>
      <c r="I103" s="20">
        <f t="shared" si="20"/>
        <v>184.79</v>
      </c>
      <c r="J103" s="63">
        <f t="shared" si="21"/>
        <v>0.73294009416093941</v>
      </c>
      <c r="K103" s="8">
        <v>5</v>
      </c>
      <c r="L103" s="8">
        <v>1</v>
      </c>
      <c r="M103" s="8">
        <f t="shared" si="17"/>
        <v>6</v>
      </c>
      <c r="N103" s="7">
        <v>0</v>
      </c>
      <c r="O103" s="7">
        <v>0</v>
      </c>
      <c r="P103" s="22">
        <f t="shared" si="22"/>
        <v>0</v>
      </c>
    </row>
    <row r="104" spans="1:16">
      <c r="A104" s="21">
        <v>46</v>
      </c>
      <c r="B104" s="6" t="s">
        <v>51</v>
      </c>
      <c r="C104" s="7">
        <v>193.35</v>
      </c>
      <c r="D104" s="7">
        <v>67</v>
      </c>
      <c r="E104" s="7">
        <v>0</v>
      </c>
      <c r="F104" s="7">
        <v>0</v>
      </c>
      <c r="G104" s="20">
        <f t="shared" si="18"/>
        <v>193.35</v>
      </c>
      <c r="H104" s="20">
        <f t="shared" si="19"/>
        <v>67</v>
      </c>
      <c r="I104" s="20">
        <f t="shared" si="20"/>
        <v>260.35000000000002</v>
      </c>
      <c r="J104" s="63">
        <f t="shared" si="21"/>
        <v>0.74265411945458026</v>
      </c>
      <c r="K104" s="8">
        <v>6</v>
      </c>
      <c r="L104" s="8">
        <v>2</v>
      </c>
      <c r="M104" s="8">
        <f t="shared" si="17"/>
        <v>8</v>
      </c>
      <c r="N104" s="7">
        <v>0</v>
      </c>
      <c r="O104" s="7">
        <v>0</v>
      </c>
      <c r="P104" s="22">
        <f t="shared" si="22"/>
        <v>0</v>
      </c>
    </row>
    <row r="105" spans="1:16">
      <c r="A105" s="21">
        <v>47</v>
      </c>
      <c r="B105" s="11" t="s">
        <v>111</v>
      </c>
      <c r="C105" s="12">
        <v>236.99</v>
      </c>
      <c r="D105" s="12">
        <v>79.31</v>
      </c>
      <c r="E105" s="12">
        <v>0</v>
      </c>
      <c r="F105" s="12">
        <v>0</v>
      </c>
      <c r="G105" s="20">
        <f t="shared" si="18"/>
        <v>236.99</v>
      </c>
      <c r="H105" s="20">
        <f t="shared" si="19"/>
        <v>79.31</v>
      </c>
      <c r="I105" s="20">
        <f t="shared" si="20"/>
        <v>316.3</v>
      </c>
      <c r="J105" s="63">
        <f t="shared" si="21"/>
        <v>0.74925703446095482</v>
      </c>
      <c r="K105" s="9">
        <v>8</v>
      </c>
      <c r="L105" s="8">
        <v>2</v>
      </c>
      <c r="M105" s="8">
        <f t="shared" si="17"/>
        <v>10</v>
      </c>
      <c r="N105" s="7">
        <v>0</v>
      </c>
      <c r="O105" s="7">
        <v>0</v>
      </c>
      <c r="P105" s="22">
        <f t="shared" si="22"/>
        <v>0</v>
      </c>
    </row>
    <row r="106" spans="1:16">
      <c r="A106" s="21">
        <v>48</v>
      </c>
      <c r="B106" s="6" t="s">
        <v>75</v>
      </c>
      <c r="C106" s="7">
        <v>295.79000000000002</v>
      </c>
      <c r="D106" s="7">
        <v>97.4</v>
      </c>
      <c r="E106" s="7">
        <v>0</v>
      </c>
      <c r="F106" s="7">
        <v>0</v>
      </c>
      <c r="G106" s="20">
        <f t="shared" si="18"/>
        <v>295.79000000000002</v>
      </c>
      <c r="H106" s="20">
        <f t="shared" si="19"/>
        <v>97.4</v>
      </c>
      <c r="I106" s="20">
        <f t="shared" si="20"/>
        <v>393.19000000000005</v>
      </c>
      <c r="J106" s="63">
        <f t="shared" si="21"/>
        <v>0.75228261146010833</v>
      </c>
      <c r="K106" s="8">
        <v>10</v>
      </c>
      <c r="L106" s="8">
        <v>3</v>
      </c>
      <c r="M106" s="8">
        <f t="shared" si="17"/>
        <v>13</v>
      </c>
      <c r="N106" s="7">
        <v>0</v>
      </c>
      <c r="O106" s="7">
        <v>0</v>
      </c>
      <c r="P106" s="22">
        <f t="shared" si="22"/>
        <v>0</v>
      </c>
    </row>
    <row r="107" spans="1:16">
      <c r="A107" s="75">
        <v>49</v>
      </c>
      <c r="B107" s="6" t="s">
        <v>104</v>
      </c>
      <c r="C107" s="7">
        <v>195.29</v>
      </c>
      <c r="D107" s="7">
        <v>64</v>
      </c>
      <c r="E107" s="7">
        <v>0</v>
      </c>
      <c r="F107" s="7">
        <v>0</v>
      </c>
      <c r="G107" s="20">
        <f t="shared" si="18"/>
        <v>195.29</v>
      </c>
      <c r="H107" s="20">
        <f t="shared" si="19"/>
        <v>64</v>
      </c>
      <c r="I107" s="20">
        <f t="shared" si="20"/>
        <v>259.28999999999996</v>
      </c>
      <c r="J107" s="63">
        <f t="shared" si="21"/>
        <v>0.75317212387674037</v>
      </c>
      <c r="K107" s="8">
        <v>9</v>
      </c>
      <c r="L107" s="8">
        <v>2</v>
      </c>
      <c r="M107" s="8">
        <f t="shared" si="17"/>
        <v>11</v>
      </c>
      <c r="N107" s="7">
        <v>0</v>
      </c>
      <c r="O107" s="7">
        <v>0</v>
      </c>
      <c r="P107" s="22">
        <f t="shared" si="22"/>
        <v>0</v>
      </c>
    </row>
    <row r="108" spans="1:16">
      <c r="A108" s="21">
        <v>50</v>
      </c>
      <c r="B108" s="6" t="s">
        <v>91</v>
      </c>
      <c r="C108" s="7">
        <v>296.02</v>
      </c>
      <c r="D108" s="7">
        <v>96.17</v>
      </c>
      <c r="E108" s="7">
        <v>0</v>
      </c>
      <c r="F108" s="7">
        <v>0</v>
      </c>
      <c r="G108" s="20">
        <f t="shared" si="18"/>
        <v>296.02</v>
      </c>
      <c r="H108" s="20">
        <f t="shared" si="19"/>
        <v>96.17</v>
      </c>
      <c r="I108" s="20">
        <f t="shared" si="20"/>
        <v>392.19</v>
      </c>
      <c r="J108" s="63">
        <f t="shared" si="21"/>
        <v>0.75478722047986946</v>
      </c>
      <c r="K108" s="8">
        <v>9</v>
      </c>
      <c r="L108" s="8">
        <v>4</v>
      </c>
      <c r="M108" s="8">
        <f t="shared" si="17"/>
        <v>13</v>
      </c>
      <c r="N108" s="7">
        <v>0</v>
      </c>
      <c r="O108" s="7">
        <v>0</v>
      </c>
      <c r="P108" s="22">
        <f t="shared" si="22"/>
        <v>0</v>
      </c>
    </row>
    <row r="109" spans="1:16">
      <c r="A109" s="21">
        <v>51</v>
      </c>
      <c r="B109" s="11" t="s">
        <v>102</v>
      </c>
      <c r="C109" s="12">
        <f>289.62-40.53-13</f>
        <v>236.09</v>
      </c>
      <c r="D109" s="12">
        <f>22+40.53+13</f>
        <v>75.53</v>
      </c>
      <c r="E109" s="12">
        <v>0</v>
      </c>
      <c r="F109" s="12">
        <v>0</v>
      </c>
      <c r="G109" s="50">
        <f t="shared" si="18"/>
        <v>236.09</v>
      </c>
      <c r="H109" s="50">
        <f t="shared" si="19"/>
        <v>75.53</v>
      </c>
      <c r="I109" s="50">
        <f t="shared" si="20"/>
        <v>311.62</v>
      </c>
      <c r="J109" s="63">
        <f t="shared" si="21"/>
        <v>0.75762146203709646</v>
      </c>
      <c r="K109" s="9">
        <f>13-1-1-1-1-1</f>
        <v>8</v>
      </c>
      <c r="L109" s="9">
        <f>1+1+1</f>
        <v>3</v>
      </c>
      <c r="M109" s="9">
        <f t="shared" si="17"/>
        <v>11</v>
      </c>
      <c r="N109" s="12">
        <v>0</v>
      </c>
      <c r="O109" s="12">
        <v>0</v>
      </c>
      <c r="P109" s="51">
        <f t="shared" si="22"/>
        <v>0</v>
      </c>
    </row>
    <row r="110" spans="1:16">
      <c r="A110" s="21">
        <v>52</v>
      </c>
      <c r="B110" s="6" t="s">
        <v>17</v>
      </c>
      <c r="C110" s="7">
        <f>1109.38-40.45-41.17-4.44-23.09</f>
        <v>1000.2299999999999</v>
      </c>
      <c r="D110" s="7">
        <f>184.75+40.45+41.17+23.09</f>
        <v>289.45999999999998</v>
      </c>
      <c r="E110" s="7">
        <v>0</v>
      </c>
      <c r="F110" s="7">
        <v>0</v>
      </c>
      <c r="G110" s="20">
        <f t="shared" si="18"/>
        <v>1000.2299999999999</v>
      </c>
      <c r="H110" s="20">
        <f t="shared" si="19"/>
        <v>289.45999999999998</v>
      </c>
      <c r="I110" s="20">
        <f t="shared" si="20"/>
        <v>1289.6899999999998</v>
      </c>
      <c r="J110" s="63">
        <f t="shared" si="21"/>
        <v>0.77555846753871094</v>
      </c>
      <c r="K110" s="8">
        <f>38-1-1-1</f>
        <v>35</v>
      </c>
      <c r="L110" s="8">
        <f>7+1+1+1</f>
        <v>10</v>
      </c>
      <c r="M110" s="8">
        <f t="shared" si="17"/>
        <v>45</v>
      </c>
      <c r="N110" s="7">
        <v>0</v>
      </c>
      <c r="O110" s="7">
        <v>0</v>
      </c>
      <c r="P110" s="22">
        <f t="shared" si="22"/>
        <v>0</v>
      </c>
    </row>
    <row r="111" spans="1:16">
      <c r="A111" s="21">
        <v>53</v>
      </c>
      <c r="B111" s="6" t="s">
        <v>77</v>
      </c>
      <c r="C111" s="7">
        <f>304.17-47.5</f>
        <v>256.67</v>
      </c>
      <c r="D111" s="7">
        <f>23.75+47.5</f>
        <v>71.25</v>
      </c>
      <c r="E111" s="7">
        <v>0</v>
      </c>
      <c r="F111" s="7">
        <v>0</v>
      </c>
      <c r="G111" s="20">
        <f t="shared" si="18"/>
        <v>256.67</v>
      </c>
      <c r="H111" s="20">
        <f t="shared" si="19"/>
        <v>71.25</v>
      </c>
      <c r="I111" s="20">
        <f t="shared" si="20"/>
        <v>327.92</v>
      </c>
      <c r="J111" s="63">
        <f t="shared" si="21"/>
        <v>0.7827213954623079</v>
      </c>
      <c r="K111" s="8">
        <f>12-1</f>
        <v>11</v>
      </c>
      <c r="L111" s="8">
        <f>1+1</f>
        <v>2</v>
      </c>
      <c r="M111" s="8">
        <f t="shared" si="17"/>
        <v>13</v>
      </c>
      <c r="N111" s="7">
        <v>0</v>
      </c>
      <c r="O111" s="7">
        <v>0</v>
      </c>
      <c r="P111" s="22">
        <f t="shared" si="22"/>
        <v>0</v>
      </c>
    </row>
    <row r="112" spans="1:16">
      <c r="A112" s="21">
        <v>54</v>
      </c>
      <c r="B112" s="6" t="s">
        <v>58</v>
      </c>
      <c r="C112" s="7">
        <v>462.7</v>
      </c>
      <c r="D112" s="7">
        <v>120.84</v>
      </c>
      <c r="E112" s="7">
        <v>0</v>
      </c>
      <c r="F112" s="7">
        <v>0</v>
      </c>
      <c r="G112" s="20">
        <f t="shared" si="18"/>
        <v>462.7</v>
      </c>
      <c r="H112" s="20">
        <f t="shared" si="19"/>
        <v>120.84</v>
      </c>
      <c r="I112" s="20">
        <f t="shared" si="20"/>
        <v>583.54</v>
      </c>
      <c r="J112" s="63">
        <f t="shared" si="21"/>
        <v>0.79291908009733703</v>
      </c>
      <c r="K112" s="8">
        <v>16</v>
      </c>
      <c r="L112" s="8">
        <v>4</v>
      </c>
      <c r="M112" s="8">
        <f t="shared" ref="M112:M121" si="23">SUM(K112:L112)</f>
        <v>20</v>
      </c>
      <c r="N112" s="7">
        <v>0</v>
      </c>
      <c r="O112" s="7">
        <v>0</v>
      </c>
      <c r="P112" s="22">
        <f t="shared" si="22"/>
        <v>0</v>
      </c>
    </row>
    <row r="113" spans="1:16">
      <c r="A113" s="75">
        <v>55</v>
      </c>
      <c r="B113" s="6" t="s">
        <v>16</v>
      </c>
      <c r="C113" s="7">
        <v>252.69</v>
      </c>
      <c r="D113" s="7">
        <v>46</v>
      </c>
      <c r="E113" s="7">
        <v>0</v>
      </c>
      <c r="F113" s="7">
        <v>19.7</v>
      </c>
      <c r="G113" s="20">
        <f t="shared" si="18"/>
        <v>252.69</v>
      </c>
      <c r="H113" s="20">
        <f t="shared" si="19"/>
        <v>65.7</v>
      </c>
      <c r="I113" s="20">
        <f t="shared" si="20"/>
        <v>318.39</v>
      </c>
      <c r="J113" s="63">
        <f t="shared" si="21"/>
        <v>0.79364929803071704</v>
      </c>
      <c r="K113" s="8">
        <v>7</v>
      </c>
      <c r="L113" s="8">
        <v>1</v>
      </c>
      <c r="M113" s="8">
        <f t="shared" si="23"/>
        <v>8</v>
      </c>
      <c r="N113" s="7">
        <v>0</v>
      </c>
      <c r="O113" s="8">
        <v>1</v>
      </c>
      <c r="P113" s="22">
        <f t="shared" si="22"/>
        <v>1</v>
      </c>
    </row>
    <row r="114" spans="1:16">
      <c r="A114" s="21">
        <v>56</v>
      </c>
      <c r="B114" s="6" t="s">
        <v>52</v>
      </c>
      <c r="C114" s="7">
        <v>251.6</v>
      </c>
      <c r="D114" s="7">
        <v>62.67</v>
      </c>
      <c r="E114" s="7">
        <v>0</v>
      </c>
      <c r="F114" s="7">
        <v>0</v>
      </c>
      <c r="G114" s="20">
        <f t="shared" si="18"/>
        <v>251.6</v>
      </c>
      <c r="H114" s="20">
        <f t="shared" si="19"/>
        <v>62.67</v>
      </c>
      <c r="I114" s="20">
        <f t="shared" si="20"/>
        <v>314.27</v>
      </c>
      <c r="J114" s="63">
        <f t="shared" si="21"/>
        <v>0.80058548381964556</v>
      </c>
      <c r="K114" s="8">
        <v>10</v>
      </c>
      <c r="L114" s="8">
        <v>2</v>
      </c>
      <c r="M114" s="8">
        <f t="shared" si="23"/>
        <v>12</v>
      </c>
      <c r="N114" s="7">
        <v>0</v>
      </c>
      <c r="O114" s="7">
        <v>0</v>
      </c>
      <c r="P114" s="22">
        <f t="shared" si="22"/>
        <v>0</v>
      </c>
    </row>
    <row r="115" spans="1:16">
      <c r="A115" s="21">
        <v>57</v>
      </c>
      <c r="B115" s="6" t="s">
        <v>49</v>
      </c>
      <c r="C115" s="7">
        <v>169</v>
      </c>
      <c r="D115" s="7">
        <v>31.5</v>
      </c>
      <c r="E115" s="7">
        <v>0</v>
      </c>
      <c r="F115" s="7">
        <v>0</v>
      </c>
      <c r="G115" s="20">
        <f t="shared" si="18"/>
        <v>169</v>
      </c>
      <c r="H115" s="20">
        <f t="shared" si="19"/>
        <v>31.5</v>
      </c>
      <c r="I115" s="20">
        <f t="shared" si="20"/>
        <v>200.5</v>
      </c>
      <c r="J115" s="63">
        <f t="shared" si="21"/>
        <v>0.84289276807980051</v>
      </c>
      <c r="K115" s="8">
        <v>5</v>
      </c>
      <c r="L115" s="8">
        <v>1</v>
      </c>
      <c r="M115" s="8">
        <f t="shared" si="23"/>
        <v>6</v>
      </c>
      <c r="N115" s="7">
        <v>0</v>
      </c>
      <c r="O115" s="7">
        <v>0</v>
      </c>
      <c r="P115" s="22">
        <f t="shared" si="22"/>
        <v>0</v>
      </c>
    </row>
    <row r="116" spans="1:16">
      <c r="A116" s="21">
        <v>58</v>
      </c>
      <c r="B116" s="6" t="s">
        <v>119</v>
      </c>
      <c r="C116" s="7">
        <f>260.9-22</f>
        <v>238.89999999999998</v>
      </c>
      <c r="D116" s="7">
        <f>22+22</f>
        <v>44</v>
      </c>
      <c r="E116" s="7">
        <v>0</v>
      </c>
      <c r="F116" s="7">
        <v>0</v>
      </c>
      <c r="G116" s="20">
        <f t="shared" si="18"/>
        <v>238.89999999999998</v>
      </c>
      <c r="H116" s="20">
        <f t="shared" si="19"/>
        <v>44</v>
      </c>
      <c r="I116" s="20">
        <f t="shared" si="20"/>
        <v>282.89999999999998</v>
      </c>
      <c r="J116" s="63">
        <f t="shared" si="21"/>
        <v>0.84446800989749027</v>
      </c>
      <c r="K116" s="8">
        <f>14-1</f>
        <v>13</v>
      </c>
      <c r="L116" s="8">
        <f>1+1</f>
        <v>2</v>
      </c>
      <c r="M116" s="8">
        <f t="shared" si="23"/>
        <v>15</v>
      </c>
      <c r="N116" s="7">
        <v>0</v>
      </c>
      <c r="O116" s="7">
        <v>0</v>
      </c>
      <c r="P116" s="22">
        <f t="shared" si="22"/>
        <v>0</v>
      </c>
    </row>
    <row r="117" spans="1:16">
      <c r="A117" s="21">
        <v>59</v>
      </c>
      <c r="B117" s="6" t="s">
        <v>132</v>
      </c>
      <c r="C117" s="7">
        <v>121.45</v>
      </c>
      <c r="D117" s="7">
        <v>32.75</v>
      </c>
      <c r="E117" s="7">
        <v>66.400000000000006</v>
      </c>
      <c r="F117" s="7">
        <v>0</v>
      </c>
      <c r="G117" s="20">
        <f t="shared" si="18"/>
        <v>187.85000000000002</v>
      </c>
      <c r="H117" s="20">
        <f t="shared" si="19"/>
        <v>32.75</v>
      </c>
      <c r="I117" s="20">
        <f t="shared" si="20"/>
        <v>220.6</v>
      </c>
      <c r="J117" s="63">
        <f t="shared" si="21"/>
        <v>0.85154125113327306</v>
      </c>
      <c r="K117" s="8">
        <v>3</v>
      </c>
      <c r="L117" s="8">
        <v>1</v>
      </c>
      <c r="M117" s="8">
        <f t="shared" si="23"/>
        <v>4</v>
      </c>
      <c r="N117" s="8">
        <v>1</v>
      </c>
      <c r="O117" s="7">
        <v>0</v>
      </c>
      <c r="P117" s="22">
        <f t="shared" si="22"/>
        <v>1</v>
      </c>
    </row>
    <row r="118" spans="1:16">
      <c r="A118" s="21">
        <v>60</v>
      </c>
      <c r="B118" s="6" t="s">
        <v>43</v>
      </c>
      <c r="C118" s="7">
        <v>227.39</v>
      </c>
      <c r="D118" s="7">
        <v>31.5</v>
      </c>
      <c r="E118" s="7">
        <v>0</v>
      </c>
      <c r="F118" s="7">
        <v>0</v>
      </c>
      <c r="G118" s="20">
        <f t="shared" si="18"/>
        <v>227.39</v>
      </c>
      <c r="H118" s="20">
        <f t="shared" si="19"/>
        <v>31.5</v>
      </c>
      <c r="I118" s="20">
        <f t="shared" si="20"/>
        <v>258.89</v>
      </c>
      <c r="J118" s="63">
        <f t="shared" si="21"/>
        <v>0.87832670246050448</v>
      </c>
      <c r="K118" s="8">
        <v>8</v>
      </c>
      <c r="L118" s="8">
        <v>1</v>
      </c>
      <c r="M118" s="8">
        <f t="shared" si="23"/>
        <v>9</v>
      </c>
      <c r="N118" s="7">
        <v>0</v>
      </c>
      <c r="O118" s="7">
        <v>0</v>
      </c>
      <c r="P118" s="22">
        <f t="shared" si="22"/>
        <v>0</v>
      </c>
    </row>
    <row r="119" spans="1:16">
      <c r="A119" s="75">
        <v>61</v>
      </c>
      <c r="B119" s="11" t="s">
        <v>114</v>
      </c>
      <c r="C119" s="7">
        <v>315.11</v>
      </c>
      <c r="D119" s="7">
        <v>21.09</v>
      </c>
      <c r="E119" s="7">
        <v>0</v>
      </c>
      <c r="F119" s="7">
        <v>0</v>
      </c>
      <c r="G119" s="20">
        <f t="shared" si="18"/>
        <v>315.11</v>
      </c>
      <c r="H119" s="20">
        <f t="shared" si="19"/>
        <v>21.09</v>
      </c>
      <c r="I119" s="20">
        <f t="shared" si="20"/>
        <v>336.2</v>
      </c>
      <c r="J119" s="63">
        <f t="shared" si="21"/>
        <v>0.93726948245092212</v>
      </c>
      <c r="K119" s="8">
        <v>14</v>
      </c>
      <c r="L119" s="8">
        <v>1</v>
      </c>
      <c r="M119" s="8">
        <f t="shared" si="23"/>
        <v>15</v>
      </c>
      <c r="N119" s="7">
        <v>0</v>
      </c>
      <c r="O119" s="7">
        <v>0</v>
      </c>
      <c r="P119" s="22">
        <f t="shared" si="22"/>
        <v>0</v>
      </c>
    </row>
    <row r="120" spans="1:16">
      <c r="A120" s="21">
        <v>62</v>
      </c>
      <c r="B120" s="6" t="s">
        <v>65</v>
      </c>
      <c r="C120" s="7">
        <v>325.05</v>
      </c>
      <c r="D120" s="7">
        <v>21</v>
      </c>
      <c r="E120" s="7">
        <v>0</v>
      </c>
      <c r="F120" s="7">
        <v>0</v>
      </c>
      <c r="G120" s="20">
        <f t="shared" si="18"/>
        <v>325.05</v>
      </c>
      <c r="H120" s="20">
        <f t="shared" si="19"/>
        <v>21</v>
      </c>
      <c r="I120" s="20">
        <f t="shared" si="20"/>
        <v>346.05</v>
      </c>
      <c r="J120" s="63">
        <f t="shared" si="21"/>
        <v>0.9393151278716948</v>
      </c>
      <c r="K120" s="8">
        <v>12</v>
      </c>
      <c r="L120" s="8">
        <v>1</v>
      </c>
      <c r="M120" s="8">
        <f t="shared" si="23"/>
        <v>13</v>
      </c>
      <c r="N120" s="7">
        <v>0</v>
      </c>
      <c r="O120" s="7">
        <v>0</v>
      </c>
      <c r="P120" s="22">
        <f t="shared" si="22"/>
        <v>0</v>
      </c>
    </row>
    <row r="121" spans="1:16">
      <c r="A121" s="21">
        <v>63</v>
      </c>
      <c r="B121" s="10" t="s">
        <v>120</v>
      </c>
      <c r="C121" s="7">
        <v>767.67</v>
      </c>
      <c r="D121" s="7">
        <v>38.619999999999997</v>
      </c>
      <c r="E121" s="7">
        <v>0</v>
      </c>
      <c r="F121" s="7">
        <v>0</v>
      </c>
      <c r="G121" s="20">
        <f t="shared" si="18"/>
        <v>767.67</v>
      </c>
      <c r="H121" s="20">
        <f t="shared" si="19"/>
        <v>38.619999999999997</v>
      </c>
      <c r="I121" s="20">
        <f t="shared" si="20"/>
        <v>806.29</v>
      </c>
      <c r="J121" s="63">
        <f t="shared" si="21"/>
        <v>0.95210160116087261</v>
      </c>
      <c r="K121" s="8">
        <v>15</v>
      </c>
      <c r="L121" s="8">
        <v>1</v>
      </c>
      <c r="M121" s="8">
        <f t="shared" si="23"/>
        <v>16</v>
      </c>
      <c r="N121" s="7">
        <v>0</v>
      </c>
      <c r="O121" s="7">
        <v>0</v>
      </c>
      <c r="P121" s="22">
        <f t="shared" si="22"/>
        <v>0</v>
      </c>
    </row>
    <row r="122" spans="1:16" ht="13.5" thickBot="1">
      <c r="A122" s="21">
        <v>64</v>
      </c>
      <c r="B122" s="30" t="s">
        <v>142</v>
      </c>
      <c r="C122" s="31">
        <v>182.27</v>
      </c>
      <c r="D122" s="31">
        <v>116.72</v>
      </c>
      <c r="E122" s="31">
        <v>0</v>
      </c>
      <c r="F122" s="31">
        <v>0</v>
      </c>
      <c r="G122" s="20">
        <f>C122+E122</f>
        <v>182.27</v>
      </c>
      <c r="H122" s="37">
        <v>116.72</v>
      </c>
      <c r="I122" s="37">
        <v>298.99</v>
      </c>
      <c r="J122" s="63">
        <f t="shared" si="21"/>
        <v>0.60961905080437473</v>
      </c>
      <c r="K122" s="32">
        <v>8</v>
      </c>
      <c r="L122" s="32">
        <v>4</v>
      </c>
      <c r="M122" s="32">
        <f>K122+L122</f>
        <v>12</v>
      </c>
      <c r="N122" s="31">
        <v>0</v>
      </c>
      <c r="O122" s="31">
        <v>0</v>
      </c>
      <c r="P122" s="33">
        <v>0</v>
      </c>
    </row>
    <row r="123" spans="1:16">
      <c r="A123" s="16">
        <v>65</v>
      </c>
      <c r="B123" s="27" t="s">
        <v>110</v>
      </c>
      <c r="C123" s="17">
        <v>170.24</v>
      </c>
      <c r="D123" s="17">
        <v>0</v>
      </c>
      <c r="E123" s="17">
        <v>18.600000000000001</v>
      </c>
      <c r="F123" s="17">
        <v>129.07</v>
      </c>
      <c r="G123" s="19">
        <f>C123+E123</f>
        <v>188.84</v>
      </c>
      <c r="H123" s="19">
        <f>D123+F123</f>
        <v>129.07</v>
      </c>
      <c r="I123" s="19">
        <f>C123+D123+E123+F123</f>
        <v>317.90999999999997</v>
      </c>
      <c r="J123" s="62">
        <f t="shared" si="21"/>
        <v>0.59400459249473125</v>
      </c>
      <c r="K123" s="18">
        <v>3</v>
      </c>
      <c r="L123" s="28">
        <v>0</v>
      </c>
      <c r="M123" s="18">
        <f>SUM(K123:L123)</f>
        <v>3</v>
      </c>
      <c r="N123" s="28">
        <v>1</v>
      </c>
      <c r="O123" s="28">
        <v>3</v>
      </c>
      <c r="P123" s="29">
        <f>SUM(N123:O123)</f>
        <v>4</v>
      </c>
    </row>
    <row r="124" spans="1:16" ht="13.5" thickBot="1">
      <c r="A124" s="68" t="s">
        <v>115</v>
      </c>
      <c r="B124" s="74"/>
      <c r="C124" s="65">
        <f t="shared" ref="C124:I124" si="24">SUM(C1:C122)</f>
        <v>29561.389999999989</v>
      </c>
      <c r="D124" s="65">
        <f t="shared" si="24"/>
        <v>46194.029999999984</v>
      </c>
      <c r="E124" s="65">
        <f t="shared" si="24"/>
        <v>1120.01</v>
      </c>
      <c r="F124" s="65">
        <f t="shared" si="24"/>
        <v>1216.5</v>
      </c>
      <c r="G124" s="66">
        <f t="shared" si="24"/>
        <v>30681.399999999991</v>
      </c>
      <c r="H124" s="66">
        <f t="shared" si="24"/>
        <v>47410.529999999984</v>
      </c>
      <c r="I124" s="66">
        <f t="shared" si="24"/>
        <v>78091.929999999993</v>
      </c>
      <c r="J124" s="66"/>
      <c r="K124" s="66">
        <f t="shared" ref="K124:P124" si="25">SUM(K1:K122)</f>
        <v>858</v>
      </c>
      <c r="L124" s="66">
        <f t="shared" si="25"/>
        <v>1135</v>
      </c>
      <c r="M124" s="66">
        <f t="shared" si="25"/>
        <v>1993</v>
      </c>
      <c r="N124" s="66">
        <f t="shared" si="25"/>
        <v>14</v>
      </c>
      <c r="O124" s="66">
        <f t="shared" si="25"/>
        <v>25</v>
      </c>
      <c r="P124" s="67">
        <f t="shared" si="25"/>
        <v>39</v>
      </c>
    </row>
    <row r="145" spans="1:14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1:14">
      <c r="A146" s="61"/>
      <c r="B146" s="61"/>
      <c r="C146" s="61"/>
      <c r="D146" s="61"/>
      <c r="E146" s="61"/>
      <c r="F146" s="61"/>
      <c r="G146" s="61"/>
      <c r="H146" s="61"/>
      <c r="I146" s="61"/>
      <c r="K146" s="61"/>
      <c r="L146" s="61"/>
      <c r="M146" s="61"/>
      <c r="N146" s="61"/>
    </row>
    <row r="147" spans="1:14">
      <c r="A147" s="61"/>
      <c r="B147" s="61"/>
      <c r="G147" s="61"/>
      <c r="K147" s="61"/>
      <c r="N147" s="6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chyła</dc:creator>
  <cp:lastModifiedBy>M.Krawczyk</cp:lastModifiedBy>
  <cp:lastPrinted>2016-11-02T07:32:06Z</cp:lastPrinted>
  <dcterms:created xsi:type="dcterms:W3CDTF">1998-07-12T16:14:09Z</dcterms:created>
  <dcterms:modified xsi:type="dcterms:W3CDTF">2016-12-01T11:02:55Z</dcterms:modified>
</cp:coreProperties>
</file>